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840" yWindow="1155" windowWidth="21585" windowHeight="11625" tabRatio="806"/>
  </bookViews>
  <sheets>
    <sheet name="Pollutant_Tables" sheetId="16" r:id="rId1"/>
    <sheet name="Summary" sheetId="7" r:id="rId2"/>
    <sheet name="FacNameIDKey" sheetId="15" r:id="rId3"/>
    <sheet name="Hovensa" sheetId="1" r:id="rId4"/>
    <sheet name="Shell" sheetId="6" r:id="rId5"/>
    <sheet name="ConocoPhillips" sheetId="5" r:id="rId6"/>
    <sheet name="Chevron" sheetId="4" r:id="rId7"/>
    <sheet name="Chevron_2008" sheetId="8" r:id="rId8"/>
    <sheet name="ExM_Torrance" sheetId="2" r:id="rId9"/>
    <sheet name="Citgo" sheetId="3" r:id="rId10"/>
    <sheet name="Marathon" sheetId="9" r:id="rId11"/>
    <sheet name="Houston1" sheetId="10" r:id="rId12"/>
    <sheet name="Houston2" sheetId="11" r:id="rId13"/>
    <sheet name="Houston_FTIR" sheetId="14" r:id="rId14"/>
    <sheet name="BP_Husky" sheetId="12" r:id="rId15"/>
    <sheet name="ExM_Baytown" sheetId="13" r:id="rId16"/>
    <sheet name="Valero_Ultramar" sheetId="17" r:id="rId17"/>
    <sheet name="BP_Arco" sheetId="18" r:id="rId18"/>
  </sheets>
  <externalReferences>
    <externalReference r:id="rId19"/>
  </externalReferences>
  <calcPr calcId="145621"/>
</workbook>
</file>

<file path=xl/calcChain.xml><?xml version="1.0" encoding="utf-8"?>
<calcChain xmlns="http://schemas.openxmlformats.org/spreadsheetml/2006/main">
  <c r="M64" i="7" l="1"/>
  <c r="R67" i="7"/>
  <c r="R66" i="7"/>
  <c r="R60" i="7"/>
  <c r="R61" i="7"/>
  <c r="R62" i="7"/>
  <c r="R63" i="7"/>
  <c r="R59" i="7"/>
  <c r="D71" i="11"/>
  <c r="B71" i="11"/>
  <c r="C77" i="12"/>
  <c r="F70" i="11"/>
  <c r="F66" i="11"/>
  <c r="F67" i="11"/>
  <c r="F65" i="11"/>
  <c r="I102" i="1"/>
  <c r="I101" i="1"/>
  <c r="I98" i="1"/>
  <c r="I96" i="1"/>
  <c r="I97" i="1"/>
  <c r="G100" i="13"/>
  <c r="G101" i="13"/>
  <c r="G99" i="13"/>
  <c r="C73" i="12"/>
  <c r="C74" i="12"/>
  <c r="C72" i="12"/>
  <c r="M127" i="16"/>
  <c r="H135" i="16"/>
  <c r="H134" i="16"/>
  <c r="H132" i="16"/>
  <c r="I132" i="16" s="1"/>
  <c r="H131" i="16"/>
  <c r="I131" i="16" s="1"/>
  <c r="H130" i="16"/>
  <c r="H129" i="16"/>
  <c r="H128" i="16"/>
  <c r="I128" i="16" s="1"/>
  <c r="H127" i="16"/>
  <c r="I127" i="16" s="1"/>
  <c r="H126" i="16"/>
  <c r="I126" i="16" s="1"/>
  <c r="H125" i="16"/>
  <c r="I125" i="16" s="1"/>
  <c r="H124" i="16"/>
  <c r="I124" i="16" s="1"/>
  <c r="G135" i="16"/>
  <c r="G134" i="16"/>
  <c r="G131" i="16"/>
  <c r="G130" i="16"/>
  <c r="G129" i="16"/>
  <c r="G127" i="16"/>
  <c r="G126" i="16"/>
  <c r="G125" i="16"/>
  <c r="G124" i="16"/>
  <c r="I135" i="16"/>
  <c r="I134" i="16"/>
  <c r="I133" i="16"/>
  <c r="I130" i="16"/>
  <c r="I129" i="16"/>
  <c r="N125" i="16" l="1"/>
  <c r="N124" i="16"/>
  <c r="M125" i="16"/>
  <c r="M124" i="16"/>
  <c r="C62" i="8"/>
  <c r="C63" i="8" s="1"/>
  <c r="D62" i="8"/>
  <c r="D63" i="8" s="1"/>
  <c r="E62" i="8"/>
  <c r="E63" i="8" s="1"/>
  <c r="F62" i="8"/>
  <c r="F63" i="8" s="1"/>
  <c r="G62" i="8"/>
  <c r="G63" i="8" s="1"/>
  <c r="B62" i="8"/>
  <c r="B63" i="8" s="1"/>
  <c r="N126" i="16" l="1"/>
  <c r="M126" i="16"/>
  <c r="G65" i="8"/>
  <c r="G66" i="8"/>
  <c r="G67" i="8"/>
  <c r="F65" i="8"/>
  <c r="F67" i="8"/>
  <c r="F66" i="8"/>
  <c r="E65" i="8"/>
  <c r="E67" i="8"/>
  <c r="E66" i="8"/>
  <c r="D65" i="8"/>
  <c r="D66" i="8"/>
  <c r="D67" i="8"/>
  <c r="C65" i="8"/>
  <c r="C66" i="8"/>
  <c r="C67" i="8"/>
  <c r="B65" i="8"/>
  <c r="B67" i="8"/>
  <c r="B66" i="8"/>
  <c r="G61" i="16"/>
  <c r="H47" i="16"/>
  <c r="H46" i="16"/>
  <c r="H103" i="16"/>
  <c r="H102" i="16"/>
  <c r="W79" i="10"/>
  <c r="W80" i="10"/>
  <c r="W81" i="10"/>
  <c r="W78" i="10"/>
  <c r="H117" i="16"/>
  <c r="H116" i="16"/>
  <c r="X81" i="10"/>
  <c r="V81" i="10"/>
  <c r="X80" i="10"/>
  <c r="V80" i="10"/>
  <c r="X79" i="10"/>
  <c r="V79" i="10"/>
  <c r="X78" i="10"/>
  <c r="V78" i="10"/>
  <c r="X75" i="10"/>
  <c r="X76" i="10"/>
  <c r="W76" i="10"/>
  <c r="V76" i="10"/>
  <c r="W75" i="10"/>
  <c r="V75" i="10"/>
  <c r="J53" i="7"/>
  <c r="J52" i="7"/>
  <c r="J42" i="7"/>
  <c r="J41" i="7"/>
  <c r="J40" i="7"/>
  <c r="J39" i="7"/>
  <c r="W36" i="10"/>
  <c r="W37" i="10"/>
  <c r="W38" i="10"/>
  <c r="W39" i="10"/>
  <c r="W40" i="10"/>
  <c r="W41" i="10"/>
  <c r="W42" i="10"/>
  <c r="W43" i="10"/>
  <c r="W44" i="10"/>
  <c r="W35" i="10"/>
  <c r="I50" i="7"/>
  <c r="I53" i="7"/>
  <c r="I52" i="7"/>
  <c r="I51" i="7"/>
  <c r="P126" i="16" l="1"/>
  <c r="I65" i="8"/>
  <c r="I66" i="8"/>
  <c r="I67" i="8"/>
  <c r="I110" i="16"/>
  <c r="I111" i="16"/>
  <c r="I112" i="16"/>
  <c r="I113" i="16"/>
  <c r="I114" i="16"/>
  <c r="I115" i="16"/>
  <c r="I117" i="16"/>
  <c r="I118" i="16"/>
  <c r="I119" i="16"/>
  <c r="I120" i="16"/>
  <c r="I109" i="16"/>
  <c r="O62" i="13"/>
  <c r="D79" i="7" s="1"/>
  <c r="C82" i="7"/>
  <c r="C83" i="7"/>
  <c r="C81" i="7"/>
  <c r="B90" i="7"/>
  <c r="E90" i="7" s="1"/>
  <c r="B88" i="7"/>
  <c r="E88" i="7" s="1"/>
  <c r="F35" i="13"/>
  <c r="G106" i="16" s="1"/>
  <c r="G39" i="16"/>
  <c r="G111" i="16" l="1"/>
  <c r="G31" i="16" l="1"/>
  <c r="G17" i="16"/>
  <c r="C50" i="18"/>
  <c r="E50" i="18" s="1"/>
  <c r="B50" i="18"/>
  <c r="C58" i="18"/>
  <c r="C38" i="18" s="1"/>
  <c r="B58" i="18"/>
  <c r="B39" i="18" s="1"/>
  <c r="C53" i="18"/>
  <c r="C57" i="18" s="1"/>
  <c r="B53" i="18"/>
  <c r="B57" i="18" s="1"/>
  <c r="D50" i="18"/>
  <c r="E49" i="18"/>
  <c r="D49" i="18"/>
  <c r="E48" i="18"/>
  <c r="D48" i="18"/>
  <c r="E47" i="18"/>
  <c r="D47" i="18"/>
  <c r="E46" i="18"/>
  <c r="D46" i="18"/>
  <c r="E45" i="18"/>
  <c r="D45" i="18"/>
  <c r="E44" i="18"/>
  <c r="D44" i="18"/>
  <c r="B39" i="17"/>
  <c r="B37" i="17"/>
  <c r="B34" i="17"/>
  <c r="C58" i="17"/>
  <c r="C36" i="17" s="1"/>
  <c r="B58" i="17"/>
  <c r="B38" i="17" s="1"/>
  <c r="C53" i="17"/>
  <c r="C57" i="17" s="1"/>
  <c r="C62" i="17" s="1"/>
  <c r="C63" i="17" s="1"/>
  <c r="B53" i="17"/>
  <c r="B57" i="17" s="1"/>
  <c r="B62" i="17" s="1"/>
  <c r="B63" i="17" s="1"/>
  <c r="E45" i="17"/>
  <c r="E46" i="17"/>
  <c r="E47" i="17"/>
  <c r="E48" i="17"/>
  <c r="E49" i="17"/>
  <c r="E44" i="17"/>
  <c r="D45" i="17"/>
  <c r="D47" i="17"/>
  <c r="D48" i="17"/>
  <c r="D49" i="17"/>
  <c r="D50" i="17"/>
  <c r="D44" i="17"/>
  <c r="C50" i="17"/>
  <c r="C40" i="17" s="1"/>
  <c r="C71" i="17" s="1"/>
  <c r="B50" i="17"/>
  <c r="B40" i="17" s="1"/>
  <c r="B46" i="17"/>
  <c r="D46" i="17" s="1"/>
  <c r="S8" i="3"/>
  <c r="S7" i="3"/>
  <c r="U7" i="3" s="1"/>
  <c r="S6" i="3"/>
  <c r="U8" i="3"/>
  <c r="U6" i="3"/>
  <c r="O6" i="3"/>
  <c r="M8" i="3"/>
  <c r="O8" i="3" s="1"/>
  <c r="M7" i="3"/>
  <c r="O7" i="3" s="1"/>
  <c r="M6" i="3"/>
  <c r="C18" i="3"/>
  <c r="B18" i="3"/>
  <c r="D8" i="6"/>
  <c r="D13" i="6"/>
  <c r="F8" i="6" s="1"/>
  <c r="D25" i="6"/>
  <c r="D35" i="6"/>
  <c r="B40" i="6"/>
  <c r="D43" i="6"/>
  <c r="C44" i="6"/>
  <c r="D44" i="6"/>
  <c r="E44" i="6" s="1"/>
  <c r="D45" i="6"/>
  <c r="D46" i="6"/>
  <c r="D47" i="6"/>
  <c r="D48" i="6"/>
  <c r="B49" i="6"/>
  <c r="D49" i="6" s="1"/>
  <c r="B56" i="6"/>
  <c r="B61" i="6" s="1"/>
  <c r="B57" i="6"/>
  <c r="H91" i="16"/>
  <c r="H77" i="16"/>
  <c r="H63" i="16"/>
  <c r="H49" i="16"/>
  <c r="L41" i="12"/>
  <c r="B30" i="12"/>
  <c r="B32" i="12"/>
  <c r="B59" i="12" s="1"/>
  <c r="B60" i="12" s="1"/>
  <c r="H111" i="16"/>
  <c r="G48" i="1"/>
  <c r="G51" i="1"/>
  <c r="G45" i="1"/>
  <c r="G42" i="1"/>
  <c r="G97" i="16"/>
  <c r="G91" i="16"/>
  <c r="G90" i="16"/>
  <c r="G89" i="16"/>
  <c r="G88" i="16"/>
  <c r="G87" i="16"/>
  <c r="G86" i="16"/>
  <c r="G84" i="16"/>
  <c r="G83" i="16"/>
  <c r="G81" i="16"/>
  <c r="G77" i="16"/>
  <c r="G76" i="16"/>
  <c r="G75" i="16"/>
  <c r="G74" i="16"/>
  <c r="G73" i="16"/>
  <c r="G72" i="16"/>
  <c r="G70" i="16"/>
  <c r="G69" i="16"/>
  <c r="G67" i="16"/>
  <c r="G63" i="16"/>
  <c r="G62" i="16"/>
  <c r="G60" i="16"/>
  <c r="G58" i="16"/>
  <c r="G56" i="16"/>
  <c r="G55" i="16"/>
  <c r="G49" i="16"/>
  <c r="G44" i="16"/>
  <c r="G42" i="16"/>
  <c r="G41" i="16"/>
  <c r="G34" i="16"/>
  <c r="G32" i="16"/>
  <c r="G30" i="16"/>
  <c r="G29" i="16"/>
  <c r="G28" i="16"/>
  <c r="G27" i="16"/>
  <c r="G26" i="16"/>
  <c r="G20" i="16"/>
  <c r="G18" i="16"/>
  <c r="G16" i="16"/>
  <c r="G15" i="16"/>
  <c r="G14" i="16"/>
  <c r="G13" i="16"/>
  <c r="G12" i="16"/>
  <c r="F87" i="16"/>
  <c r="F86" i="16"/>
  <c r="F85" i="16"/>
  <c r="F78" i="16"/>
  <c r="F73" i="16"/>
  <c r="F72" i="16"/>
  <c r="F71" i="16"/>
  <c r="F58" i="16"/>
  <c r="F57" i="16"/>
  <c r="F44" i="16"/>
  <c r="F36" i="16"/>
  <c r="F31" i="16"/>
  <c r="F30" i="16"/>
  <c r="F29" i="16"/>
  <c r="F22" i="16"/>
  <c r="F16" i="16"/>
  <c r="F106" i="16"/>
  <c r="F105" i="16"/>
  <c r="F103" i="16"/>
  <c r="F101" i="16"/>
  <c r="F100" i="16"/>
  <c r="F99" i="16"/>
  <c r="F98" i="16"/>
  <c r="F97" i="16"/>
  <c r="F96" i="16"/>
  <c r="F95" i="16"/>
  <c r="F92" i="16"/>
  <c r="F91" i="16"/>
  <c r="F89" i="16"/>
  <c r="F84" i="16"/>
  <c r="F83" i="16"/>
  <c r="F82" i="16"/>
  <c r="F81" i="16"/>
  <c r="F77" i="16"/>
  <c r="F75" i="16"/>
  <c r="F70" i="16"/>
  <c r="F69" i="16"/>
  <c r="F68" i="16"/>
  <c r="F64" i="16"/>
  <c r="F63" i="16"/>
  <c r="F61" i="16"/>
  <c r="F59" i="16"/>
  <c r="F56" i="16"/>
  <c r="F55" i="16"/>
  <c r="F54" i="16"/>
  <c r="F53" i="16"/>
  <c r="F50" i="16"/>
  <c r="F49" i="16"/>
  <c r="F47" i="16"/>
  <c r="F45" i="16"/>
  <c r="F43" i="16"/>
  <c r="F42" i="16"/>
  <c r="F41" i="16"/>
  <c r="F40" i="16"/>
  <c r="F39" i="16"/>
  <c r="F35" i="16"/>
  <c r="F33" i="16"/>
  <c r="F28" i="16"/>
  <c r="F27" i="16"/>
  <c r="F26" i="16"/>
  <c r="F25" i="16"/>
  <c r="F21" i="16"/>
  <c r="F19" i="16"/>
  <c r="F17" i="16"/>
  <c r="F15" i="16"/>
  <c r="F14" i="16"/>
  <c r="F13" i="16"/>
  <c r="F12" i="16"/>
  <c r="F11" i="16"/>
  <c r="H27" i="16"/>
  <c r="H26" i="16"/>
  <c r="E106" i="16"/>
  <c r="E105" i="16"/>
  <c r="E103" i="16"/>
  <c r="E101" i="16"/>
  <c r="E100" i="16"/>
  <c r="E99" i="16"/>
  <c r="E98" i="16"/>
  <c r="E97" i="16"/>
  <c r="E96" i="16"/>
  <c r="E95" i="16"/>
  <c r="E92" i="16"/>
  <c r="E91" i="16"/>
  <c r="E89" i="16"/>
  <c r="E84" i="16"/>
  <c r="E83" i="16"/>
  <c r="E82" i="16"/>
  <c r="E81" i="16"/>
  <c r="E77" i="16"/>
  <c r="E75" i="16"/>
  <c r="E70" i="16"/>
  <c r="E69" i="16"/>
  <c r="E68" i="16"/>
  <c r="E64" i="16"/>
  <c r="E63" i="16"/>
  <c r="E61" i="16"/>
  <c r="E59" i="16"/>
  <c r="E56" i="16"/>
  <c r="E55" i="16"/>
  <c r="E54" i="16"/>
  <c r="E53" i="16"/>
  <c r="E50" i="16"/>
  <c r="E49" i="16"/>
  <c r="E47" i="16"/>
  <c r="E45" i="16"/>
  <c r="E43" i="16"/>
  <c r="E42" i="16"/>
  <c r="E41" i="16"/>
  <c r="E40" i="16"/>
  <c r="E39" i="16"/>
  <c r="E35" i="16"/>
  <c r="E33" i="16"/>
  <c r="E28" i="16"/>
  <c r="E27" i="16"/>
  <c r="E26" i="16"/>
  <c r="E25" i="16"/>
  <c r="E21" i="16"/>
  <c r="E17" i="16"/>
  <c r="E15" i="16"/>
  <c r="E19" i="16"/>
  <c r="E14" i="16"/>
  <c r="E13" i="16"/>
  <c r="E12" i="16"/>
  <c r="E11" i="16"/>
  <c r="B31" i="12"/>
  <c r="L75" i="10"/>
  <c r="L76" i="10" s="1"/>
  <c r="M75" i="10"/>
  <c r="M76" i="10" s="1"/>
  <c r="N75" i="10"/>
  <c r="N76" i="10" s="1"/>
  <c r="O75" i="10"/>
  <c r="O76" i="10" s="1"/>
  <c r="P75" i="10"/>
  <c r="P76" i="10" s="1"/>
  <c r="Q75" i="10"/>
  <c r="Q76" i="10" s="1"/>
  <c r="R75" i="10"/>
  <c r="R76" i="10" s="1"/>
  <c r="S75" i="10"/>
  <c r="S76" i="10" s="1"/>
  <c r="T75" i="10"/>
  <c r="T76" i="10" s="1"/>
  <c r="C75" i="10"/>
  <c r="D75" i="10"/>
  <c r="E75" i="10"/>
  <c r="E76" i="10" s="1"/>
  <c r="E80" i="10" s="1"/>
  <c r="F75" i="10"/>
  <c r="G75" i="10"/>
  <c r="I75" i="10"/>
  <c r="I76" i="10" s="1"/>
  <c r="J75" i="10"/>
  <c r="J76" i="10" s="1"/>
  <c r="J78" i="10" s="1"/>
  <c r="K75" i="10"/>
  <c r="B75" i="10"/>
  <c r="K76" i="10"/>
  <c r="G76" i="10"/>
  <c r="G81" i="10" s="1"/>
  <c r="D76" i="10"/>
  <c r="C76" i="10"/>
  <c r="C79" i="10" s="1"/>
  <c r="F76" i="10"/>
  <c r="B76" i="10"/>
  <c r="C183" i="9"/>
  <c r="D183" i="9"/>
  <c r="E183" i="9"/>
  <c r="E184" i="9" s="1"/>
  <c r="E204" i="9" s="1"/>
  <c r="F183" i="9"/>
  <c r="F184" i="9" s="1"/>
  <c r="G183" i="9"/>
  <c r="G184" i="9" s="1"/>
  <c r="H183" i="9"/>
  <c r="H184" i="9" s="1"/>
  <c r="H206" i="9" s="1"/>
  <c r="I183" i="9"/>
  <c r="I184" i="9" s="1"/>
  <c r="J183" i="9"/>
  <c r="J184" i="9" s="1"/>
  <c r="K183" i="9"/>
  <c r="K184" i="9" s="1"/>
  <c r="M183" i="9"/>
  <c r="M184" i="9" s="1"/>
  <c r="M206" i="9" s="1"/>
  <c r="N183" i="9"/>
  <c r="N184" i="9" s="1"/>
  <c r="O183" i="9"/>
  <c r="O184" i="9" s="1"/>
  <c r="P183" i="9"/>
  <c r="P184" i="9" s="1"/>
  <c r="Q183" i="9"/>
  <c r="Q184" i="9" s="1"/>
  <c r="Q206" i="9" s="1"/>
  <c r="S183" i="9"/>
  <c r="S184" i="9" s="1"/>
  <c r="T183" i="9"/>
  <c r="T184" i="9" s="1"/>
  <c r="U183" i="9"/>
  <c r="U184" i="9" s="1"/>
  <c r="V183" i="9"/>
  <c r="V184" i="9" s="1"/>
  <c r="V189" i="9" s="1"/>
  <c r="X183" i="9"/>
  <c r="X184" i="9" s="1"/>
  <c r="Y183" i="9"/>
  <c r="Y184" i="9" s="1"/>
  <c r="Z183" i="9"/>
  <c r="Z184" i="9" s="1"/>
  <c r="AA183" i="9"/>
  <c r="AA184" i="9" s="1"/>
  <c r="AA189" i="9" s="1"/>
  <c r="AB183" i="9"/>
  <c r="AB184" i="9" s="1"/>
  <c r="B183" i="9"/>
  <c r="D184" i="9"/>
  <c r="D206" i="9" s="1"/>
  <c r="C184" i="9"/>
  <c r="C206" i="9" s="1"/>
  <c r="B184" i="9"/>
  <c r="B206" i="9" s="1"/>
  <c r="B62" i="6"/>
  <c r="B70" i="6" s="1"/>
  <c r="H82" i="16" s="1"/>
  <c r="O17" i="13"/>
  <c r="O15" i="13"/>
  <c r="W31" i="15"/>
  <c r="H28" i="15"/>
  <c r="E28" i="15"/>
  <c r="J22" i="15"/>
  <c r="I21" i="15"/>
  <c r="H21" i="15"/>
  <c r="G21" i="15"/>
  <c r="F21" i="15"/>
  <c r="I20" i="15"/>
  <c r="H20" i="15"/>
  <c r="G20" i="15"/>
  <c r="E20" i="15"/>
  <c r="D20" i="15"/>
  <c r="J19" i="15"/>
  <c r="I19" i="15"/>
  <c r="H19" i="15"/>
  <c r="G19" i="15"/>
  <c r="F19" i="15"/>
  <c r="I18" i="15"/>
  <c r="H18" i="15"/>
  <c r="G18" i="15"/>
  <c r="E18" i="15"/>
  <c r="D18" i="15"/>
  <c r="I17" i="15"/>
  <c r="H17" i="15"/>
  <c r="E17" i="15"/>
  <c r="D17" i="15"/>
  <c r="I16" i="15"/>
  <c r="H16" i="15"/>
  <c r="G16" i="15"/>
  <c r="F16" i="15"/>
  <c r="E16" i="15"/>
  <c r="D16" i="15"/>
  <c r="E15" i="15"/>
  <c r="D15" i="15"/>
  <c r="I14" i="15"/>
  <c r="H14" i="15"/>
  <c r="G14" i="15"/>
  <c r="F14" i="15"/>
  <c r="E14" i="15"/>
  <c r="D14" i="15"/>
  <c r="J13" i="15"/>
  <c r="I13" i="15"/>
  <c r="H13" i="15"/>
  <c r="G13" i="15"/>
  <c r="F13" i="15"/>
  <c r="E13" i="15"/>
  <c r="D13" i="15"/>
  <c r="E12" i="15"/>
  <c r="D12" i="15"/>
  <c r="I11" i="15"/>
  <c r="H11" i="15"/>
  <c r="F11" i="15"/>
  <c r="R21" i="15"/>
  <c r="O21" i="15"/>
  <c r="M21" i="15"/>
  <c r="L21" i="15"/>
  <c r="Z17" i="15"/>
  <c r="S17" i="15"/>
  <c r="S15" i="15"/>
  <c r="T79" i="10" l="1"/>
  <c r="T78" i="10"/>
  <c r="T81" i="10"/>
  <c r="T80" i="10"/>
  <c r="P81" i="10"/>
  <c r="P78" i="10"/>
  <c r="P80" i="10"/>
  <c r="P79" i="10"/>
  <c r="L79" i="10"/>
  <c r="L78" i="10"/>
  <c r="L81" i="10"/>
  <c r="L80" i="10"/>
  <c r="S80" i="10"/>
  <c r="S81" i="10"/>
  <c r="S79" i="10"/>
  <c r="S78" i="10"/>
  <c r="O80" i="10"/>
  <c r="O81" i="10"/>
  <c r="O79" i="10"/>
  <c r="O78" i="10"/>
  <c r="R81" i="10"/>
  <c r="R80" i="10"/>
  <c r="R78" i="10"/>
  <c r="R79" i="10"/>
  <c r="N80" i="10"/>
  <c r="N79" i="10"/>
  <c r="N78" i="10"/>
  <c r="N81" i="10"/>
  <c r="Q81" i="10"/>
  <c r="Q79" i="10"/>
  <c r="Q80" i="10"/>
  <c r="Q78" i="10"/>
  <c r="M81" i="10"/>
  <c r="M79" i="10"/>
  <c r="M80" i="10"/>
  <c r="M78" i="10"/>
  <c r="C186" i="9"/>
  <c r="C190" i="9"/>
  <c r="D81" i="10"/>
  <c r="D79" i="10"/>
  <c r="D80" i="10"/>
  <c r="D78" i="10"/>
  <c r="G78" i="10"/>
  <c r="J79" i="10"/>
  <c r="C80" i="10"/>
  <c r="E81" i="10"/>
  <c r="D188" i="9"/>
  <c r="B81" i="10"/>
  <c r="B79" i="10"/>
  <c r="B80" i="10"/>
  <c r="E78" i="10"/>
  <c r="G79" i="10"/>
  <c r="J80" i="10"/>
  <c r="C81" i="10"/>
  <c r="AD184" i="9"/>
  <c r="AD183" i="9"/>
  <c r="C188" i="9"/>
  <c r="F80" i="10"/>
  <c r="F78" i="10"/>
  <c r="F81" i="10"/>
  <c r="F79" i="10"/>
  <c r="K80" i="10"/>
  <c r="K78" i="10"/>
  <c r="K81" i="10"/>
  <c r="K79" i="10"/>
  <c r="I81" i="10"/>
  <c r="I79" i="10"/>
  <c r="I80" i="10"/>
  <c r="I78" i="10"/>
  <c r="B78" i="10"/>
  <c r="C78" i="10"/>
  <c r="E79" i="10"/>
  <c r="G80" i="10"/>
  <c r="J81" i="10"/>
  <c r="O9" i="3"/>
  <c r="O10" i="3" s="1"/>
  <c r="B32" i="3" s="1"/>
  <c r="B33" i="3" s="1"/>
  <c r="B37" i="3" s="1"/>
  <c r="D37" i="3" s="1"/>
  <c r="H100" i="16" s="1"/>
  <c r="C66" i="17"/>
  <c r="D186" i="9"/>
  <c r="D190" i="9"/>
  <c r="C92" i="7"/>
  <c r="B77" i="12"/>
  <c r="B63" i="12"/>
  <c r="B82" i="12"/>
  <c r="B74" i="12"/>
  <c r="B71" i="12"/>
  <c r="H21" i="16" s="1"/>
  <c r="B81" i="12"/>
  <c r="B73" i="12"/>
  <c r="B70" i="12"/>
  <c r="H35" i="16" s="1"/>
  <c r="B72" i="12"/>
  <c r="B62" i="12"/>
  <c r="H119" i="16" s="1"/>
  <c r="F13" i="6"/>
  <c r="B35" i="17"/>
  <c r="B65" i="17" s="1"/>
  <c r="D65" i="17" s="1"/>
  <c r="C39" i="17"/>
  <c r="C70" i="17" s="1"/>
  <c r="C35" i="17"/>
  <c r="C65" i="17" s="1"/>
  <c r="C38" i="17"/>
  <c r="C69" i="17" s="1"/>
  <c r="C34" i="17"/>
  <c r="C67" i="17" s="1"/>
  <c r="E50" i="17"/>
  <c r="B36" i="17"/>
  <c r="B66" i="17" s="1"/>
  <c r="D66" i="17" s="1"/>
  <c r="C37" i="17"/>
  <c r="C68" i="17" s="1"/>
  <c r="C39" i="18"/>
  <c r="C36" i="18"/>
  <c r="B36" i="18"/>
  <c r="B40" i="18"/>
  <c r="B34" i="18"/>
  <c r="B67" i="18" s="1"/>
  <c r="B62" i="18"/>
  <c r="B63" i="18" s="1"/>
  <c r="B71" i="18" s="1"/>
  <c r="B38" i="18"/>
  <c r="C35" i="18"/>
  <c r="C40" i="18"/>
  <c r="C62" i="18"/>
  <c r="C63" i="18" s="1"/>
  <c r="C34" i="18"/>
  <c r="C37" i="18"/>
  <c r="B35" i="18"/>
  <c r="B37" i="18"/>
  <c r="B66" i="18"/>
  <c r="B70" i="18"/>
  <c r="B71" i="17"/>
  <c r="D71" i="17" s="1"/>
  <c r="U9" i="3"/>
  <c r="U10" i="3" s="1"/>
  <c r="C32" i="3" s="1"/>
  <c r="C33" i="3" s="1"/>
  <c r="C37" i="3" s="1"/>
  <c r="B70" i="17"/>
  <c r="D70" i="17" s="1"/>
  <c r="B85" i="17"/>
  <c r="B69" i="17"/>
  <c r="D69" i="17" s="1"/>
  <c r="B84" i="17"/>
  <c r="B68" i="17"/>
  <c r="D68" i="17" s="1"/>
  <c r="B83" i="17"/>
  <c r="B67" i="17"/>
  <c r="D67" i="17" s="1"/>
  <c r="B65" i="6"/>
  <c r="B69" i="6"/>
  <c r="H68" i="16" s="1"/>
  <c r="B84" i="6"/>
  <c r="B64" i="6"/>
  <c r="H110" i="16" s="1"/>
  <c r="B68" i="6"/>
  <c r="H54" i="16" s="1"/>
  <c r="B83" i="6"/>
  <c r="B67" i="6"/>
  <c r="H40" i="16" s="1"/>
  <c r="B82" i="6"/>
  <c r="B66" i="6"/>
  <c r="H96" i="16" s="1"/>
  <c r="Y190" i="9"/>
  <c r="Y188" i="9"/>
  <c r="Y189" i="9"/>
  <c r="Y187" i="9"/>
  <c r="Y186" i="9"/>
  <c r="T188" i="9"/>
  <c r="T189" i="9"/>
  <c r="T187" i="9"/>
  <c r="T186" i="9"/>
  <c r="J204" i="9"/>
  <c r="J205" i="9"/>
  <c r="J190" i="9"/>
  <c r="J186" i="9"/>
  <c r="J206" i="9"/>
  <c r="J189" i="9"/>
  <c r="J187" i="9"/>
  <c r="J188" i="9"/>
  <c r="Z189" i="9"/>
  <c r="Z187" i="9"/>
  <c r="Z190" i="9"/>
  <c r="Z188" i="9"/>
  <c r="Z186" i="9"/>
  <c r="U187" i="9"/>
  <c r="U188" i="9"/>
  <c r="U186" i="9"/>
  <c r="P204" i="9"/>
  <c r="P205" i="9"/>
  <c r="P189" i="9"/>
  <c r="P187" i="9"/>
  <c r="P206" i="9"/>
  <c r="P190" i="9"/>
  <c r="P188" i="9"/>
  <c r="P186" i="9"/>
  <c r="K189" i="9"/>
  <c r="K187" i="9"/>
  <c r="K190" i="9"/>
  <c r="K188" i="9"/>
  <c r="K186" i="9"/>
  <c r="G206" i="9"/>
  <c r="G204" i="9"/>
  <c r="G205" i="9"/>
  <c r="O190" i="9"/>
  <c r="O204" i="9"/>
  <c r="O205" i="9"/>
  <c r="O189" i="9"/>
  <c r="O187" i="9"/>
  <c r="O188" i="9"/>
  <c r="O186" i="9"/>
  <c r="O206" i="9"/>
  <c r="F204" i="9"/>
  <c r="F205" i="9"/>
  <c r="F206" i="9"/>
  <c r="AB190" i="9"/>
  <c r="AB188" i="9"/>
  <c r="AB186" i="9"/>
  <c r="AB189" i="9"/>
  <c r="AB187" i="9"/>
  <c r="X190" i="9"/>
  <c r="X188" i="9"/>
  <c r="X186" i="9"/>
  <c r="X189" i="9"/>
  <c r="X187" i="9"/>
  <c r="S190" i="9"/>
  <c r="S188" i="9"/>
  <c r="S186" i="9"/>
  <c r="S189" i="9"/>
  <c r="S187" i="9"/>
  <c r="N206" i="9"/>
  <c r="N190" i="9"/>
  <c r="N188" i="9"/>
  <c r="N186" i="9"/>
  <c r="N204" i="9"/>
  <c r="N205" i="9"/>
  <c r="N189" i="9"/>
  <c r="N187" i="9"/>
  <c r="I204" i="9"/>
  <c r="I205" i="9"/>
  <c r="I190" i="9"/>
  <c r="I188" i="9"/>
  <c r="I186" i="9"/>
  <c r="I206" i="9"/>
  <c r="I189" i="9"/>
  <c r="I187" i="9"/>
  <c r="B186" i="9"/>
  <c r="AD186" i="9" s="1"/>
  <c r="H115" i="16" s="1"/>
  <c r="Q187" i="9"/>
  <c r="E186" i="9"/>
  <c r="C187" i="9"/>
  <c r="E188" i="9"/>
  <c r="C189" i="9"/>
  <c r="E190" i="9"/>
  <c r="Q205" i="9"/>
  <c r="M205" i="9"/>
  <c r="C205" i="9"/>
  <c r="E206" i="9"/>
  <c r="AD206" i="9" s="1"/>
  <c r="Q204" i="9"/>
  <c r="M204" i="9"/>
  <c r="C204" i="9"/>
  <c r="AA187" i="9"/>
  <c r="M187" i="9"/>
  <c r="AA186" i="9"/>
  <c r="V186" i="9"/>
  <c r="Q186" i="9"/>
  <c r="M186" i="9"/>
  <c r="H186" i="9"/>
  <c r="B187" i="9"/>
  <c r="D187" i="9"/>
  <c r="AA188" i="9"/>
  <c r="V188" i="9"/>
  <c r="Q188" i="9"/>
  <c r="M188" i="9"/>
  <c r="H188" i="9"/>
  <c r="B189" i="9"/>
  <c r="AA190" i="9"/>
  <c r="V190" i="9"/>
  <c r="M190" i="9"/>
  <c r="H190" i="9"/>
  <c r="B205" i="9"/>
  <c r="H205" i="9"/>
  <c r="D205" i="9"/>
  <c r="B204" i="9"/>
  <c r="AD204" i="9" s="1"/>
  <c r="H204" i="9"/>
  <c r="D204" i="9"/>
  <c r="E187" i="9"/>
  <c r="E205" i="9"/>
  <c r="V187" i="9"/>
  <c r="H187" i="9"/>
  <c r="B188" i="9"/>
  <c r="B190" i="9"/>
  <c r="O51" i="13"/>
  <c r="L71" i="7"/>
  <c r="L70" i="7"/>
  <c r="H50" i="7"/>
  <c r="G115" i="16" s="1"/>
  <c r="AL37" i="9"/>
  <c r="H71" i="7" s="1"/>
  <c r="AL39" i="9"/>
  <c r="H52" i="7" s="1"/>
  <c r="G101" i="16" s="1"/>
  <c r="AL40" i="9"/>
  <c r="AL41" i="9"/>
  <c r="H51" i="7" s="1"/>
  <c r="AL44" i="9"/>
  <c r="AL45" i="9"/>
  <c r="AL36" i="9"/>
  <c r="H70" i="7" s="1"/>
  <c r="M40" i="13"/>
  <c r="L18" i="12"/>
  <c r="M18" i="12"/>
  <c r="K51" i="12"/>
  <c r="L66" i="7"/>
  <c r="M40" i="11"/>
  <c r="K40" i="11"/>
  <c r="O40" i="11" s="1"/>
  <c r="O12" i="11"/>
  <c r="O6" i="1"/>
  <c r="F28" i="13"/>
  <c r="L16" i="7"/>
  <c r="L15" i="7"/>
  <c r="G15" i="7"/>
  <c r="E8" i="3"/>
  <c r="E9" i="3"/>
  <c r="E10" i="3"/>
  <c r="G16" i="7" s="1"/>
  <c r="E7" i="3"/>
  <c r="F19" i="7"/>
  <c r="F20" i="7"/>
  <c r="F18" i="7"/>
  <c r="F17" i="7"/>
  <c r="F16" i="7"/>
  <c r="F15" i="7"/>
  <c r="E17" i="7"/>
  <c r="E16" i="7"/>
  <c r="E15" i="7"/>
  <c r="D16" i="7"/>
  <c r="C17" i="7"/>
  <c r="C16" i="7"/>
  <c r="D15" i="7"/>
  <c r="H42" i="1"/>
  <c r="E76" i="1"/>
  <c r="B7" i="7"/>
  <c r="B19" i="7"/>
  <c r="B18" i="7"/>
  <c r="C20" i="7"/>
  <c r="C19" i="7"/>
  <c r="C18" i="7"/>
  <c r="C15" i="7"/>
  <c r="F72" i="13"/>
  <c r="F73" i="13"/>
  <c r="F74" i="13"/>
  <c r="F75" i="13"/>
  <c r="F76" i="13"/>
  <c r="F77" i="13"/>
  <c r="F80" i="13"/>
  <c r="F81" i="13"/>
  <c r="F82" i="13"/>
  <c r="F63" i="13"/>
  <c r="M4" i="7" s="1"/>
  <c r="F64" i="13"/>
  <c r="M18" i="7" s="1"/>
  <c r="F65" i="13"/>
  <c r="F66" i="13"/>
  <c r="F67" i="13"/>
  <c r="M7" i="7" s="1"/>
  <c r="F68" i="13"/>
  <c r="F69" i="13"/>
  <c r="F70" i="13"/>
  <c r="F62" i="13"/>
  <c r="M15" i="7" s="1"/>
  <c r="F61" i="13"/>
  <c r="K53" i="7"/>
  <c r="F20" i="15" s="1"/>
  <c r="K52" i="7"/>
  <c r="J20" i="15" s="1"/>
  <c r="K51" i="7"/>
  <c r="K50" i="7"/>
  <c r="F40" i="13"/>
  <c r="M3" i="7" l="1"/>
  <c r="AD205" i="9"/>
  <c r="AD187" i="9"/>
  <c r="C70" i="18"/>
  <c r="I116" i="16"/>
  <c r="M16" i="7"/>
  <c r="AD188" i="9"/>
  <c r="H101" i="16" s="1"/>
  <c r="H81" i="7"/>
  <c r="H82" i="7"/>
  <c r="H83" i="7"/>
  <c r="C69" i="18"/>
  <c r="C67" i="18"/>
  <c r="C71" i="18"/>
  <c r="B65" i="18"/>
  <c r="B83" i="18"/>
  <c r="B68" i="18"/>
  <c r="D71" i="18"/>
  <c r="B84" i="18"/>
  <c r="B69" i="18"/>
  <c r="D69" i="18" s="1"/>
  <c r="B85" i="18"/>
  <c r="D65" i="18"/>
  <c r="D67" i="18"/>
  <c r="C68" i="18"/>
  <c r="D68" i="18" s="1"/>
  <c r="C65" i="18"/>
  <c r="D70" i="18"/>
  <c r="C66" i="18"/>
  <c r="D66" i="18" s="1"/>
  <c r="M19" i="7"/>
  <c r="M6" i="7"/>
  <c r="P20" i="7"/>
  <c r="O20" i="7"/>
  <c r="J17" i="15"/>
  <c r="V30" i="15"/>
  <c r="Q20" i="7" l="1"/>
  <c r="L63" i="7"/>
  <c r="L62" i="7"/>
  <c r="L61" i="7"/>
  <c r="L59" i="7"/>
  <c r="G35" i="16" s="1"/>
  <c r="J63" i="7"/>
  <c r="L51" i="7"/>
  <c r="L50" i="7"/>
  <c r="G119" i="16" s="1"/>
  <c r="F41" i="13"/>
  <c r="F42" i="13"/>
  <c r="M54" i="7" s="1"/>
  <c r="F43" i="13"/>
  <c r="F44" i="13"/>
  <c r="F45" i="13"/>
  <c r="F47" i="13"/>
  <c r="F48" i="13"/>
  <c r="F49" i="13"/>
  <c r="M55" i="7" s="1"/>
  <c r="F50" i="13"/>
  <c r="F51" i="13"/>
  <c r="F52" i="13"/>
  <c r="F55" i="13"/>
  <c r="F56" i="13"/>
  <c r="F57" i="13"/>
  <c r="F39" i="13"/>
  <c r="M53" i="7" s="1"/>
  <c r="F36" i="13"/>
  <c r="M50" i="7" s="1"/>
  <c r="G120" i="16" s="1"/>
  <c r="F37" i="13"/>
  <c r="M51" i="7" s="1"/>
  <c r="F35" i="11"/>
  <c r="K39" i="7" s="1"/>
  <c r="J50" i="7" s="1"/>
  <c r="F36" i="11"/>
  <c r="K40" i="7" s="1"/>
  <c r="J51" i="7" s="1"/>
  <c r="F34" i="11"/>
  <c r="F41" i="11"/>
  <c r="J3" i="7" s="1"/>
  <c r="F42" i="11"/>
  <c r="J4" i="7" s="1"/>
  <c r="F40" i="11"/>
  <c r="I4" i="7"/>
  <c r="I3" i="7"/>
  <c r="V52" i="10"/>
  <c r="V50" i="10"/>
  <c r="V51" i="10"/>
  <c r="I5" i="7" s="1"/>
  <c r="V53" i="10"/>
  <c r="V54" i="10"/>
  <c r="V55" i="10"/>
  <c r="V56" i="10"/>
  <c r="V57" i="10"/>
  <c r="I6" i="7" s="1"/>
  <c r="V58" i="10"/>
  <c r="V49" i="10"/>
  <c r="G78" i="16" l="1"/>
  <c r="H22" i="15"/>
  <c r="P27" i="15"/>
  <c r="G50" i="16"/>
  <c r="J28" i="15"/>
  <c r="F22" i="15"/>
  <c r="G64" i="16"/>
  <c r="G22" i="15"/>
  <c r="M29" i="15"/>
  <c r="G28" i="15"/>
  <c r="E21" i="15"/>
  <c r="B54" i="12"/>
  <c r="L17" i="7" s="1"/>
  <c r="P66" i="1"/>
  <c r="L63" i="1"/>
  <c r="L66" i="1"/>
  <c r="L69" i="1"/>
  <c r="L60" i="1"/>
  <c r="C178" i="9"/>
  <c r="C179" i="9" s="1"/>
  <c r="C31" i="13"/>
  <c r="C29" i="13" s="1"/>
  <c r="C32" i="13" s="1"/>
  <c r="C86" i="13" s="1"/>
  <c r="C87" i="13" s="1"/>
  <c r="D31" i="13"/>
  <c r="D29" i="13" s="1"/>
  <c r="D32" i="13" s="1"/>
  <c r="D86" i="13" s="1"/>
  <c r="D87" i="13" s="1"/>
  <c r="B31" i="13"/>
  <c r="B29" i="13" s="1"/>
  <c r="B32" i="13" s="1"/>
  <c r="B86" i="13" s="1"/>
  <c r="G61" i="13"/>
  <c r="H61" i="13"/>
  <c r="O37" i="11"/>
  <c r="O33" i="11"/>
  <c r="O32" i="11"/>
  <c r="O28" i="11"/>
  <c r="O25" i="11"/>
  <c r="J61" i="7" s="1"/>
  <c r="O17" i="11"/>
  <c r="J60" i="7" s="1"/>
  <c r="O16" i="11"/>
  <c r="J67" i="7" s="1"/>
  <c r="O15" i="11"/>
  <c r="J59" i="7" s="1"/>
  <c r="O14" i="11"/>
  <c r="O11" i="11"/>
  <c r="O10" i="11"/>
  <c r="J62" i="7" s="1"/>
  <c r="O9" i="11"/>
  <c r="O8" i="11"/>
  <c r="O6" i="11"/>
  <c r="H27" i="14"/>
  <c r="H35" i="14" s="1"/>
  <c r="E31" i="14"/>
  <c r="X37" i="10"/>
  <c r="X38" i="10"/>
  <c r="X39" i="10"/>
  <c r="X40" i="10"/>
  <c r="X41" i="10"/>
  <c r="X42" i="10"/>
  <c r="X43" i="10"/>
  <c r="X44" i="10"/>
  <c r="X36" i="10"/>
  <c r="I22" i="14"/>
  <c r="H22" i="14"/>
  <c r="C22" i="14"/>
  <c r="B22" i="14"/>
  <c r="K47" i="13"/>
  <c r="L52" i="13"/>
  <c r="M52" i="13"/>
  <c r="K52" i="13"/>
  <c r="O67" i="13"/>
  <c r="D84" i="7" s="1"/>
  <c r="E84" i="7" s="1"/>
  <c r="O34" i="13"/>
  <c r="O26" i="13"/>
  <c r="M59" i="7" s="1"/>
  <c r="G36" i="16" s="1"/>
  <c r="O23" i="13"/>
  <c r="M63" i="7" s="1"/>
  <c r="O20" i="13"/>
  <c r="D53" i="13"/>
  <c r="C53" i="13"/>
  <c r="C95" i="13" s="1"/>
  <c r="D78" i="13"/>
  <c r="C78" i="13"/>
  <c r="B78" i="13"/>
  <c r="B53" i="13"/>
  <c r="G27" i="15" l="1"/>
  <c r="F53" i="13"/>
  <c r="M56" i="7" s="1"/>
  <c r="G92" i="16" s="1"/>
  <c r="M47" i="13"/>
  <c r="D107" i="13" s="1"/>
  <c r="D109" i="13"/>
  <c r="H30" i="14"/>
  <c r="J30" i="14" s="1"/>
  <c r="C91" i="13"/>
  <c r="C97" i="13"/>
  <c r="C92" i="13"/>
  <c r="C98" i="13"/>
  <c r="C93" i="13"/>
  <c r="C100" i="13"/>
  <c r="C94" i="13"/>
  <c r="C89" i="13"/>
  <c r="C108" i="13"/>
  <c r="C90" i="13"/>
  <c r="D27" i="15"/>
  <c r="E19" i="15"/>
  <c r="P40" i="11"/>
  <c r="D95" i="13"/>
  <c r="L47" i="13"/>
  <c r="C107" i="13" s="1"/>
  <c r="C109" i="13"/>
  <c r="D19" i="15"/>
  <c r="B87" i="13"/>
  <c r="B95" i="13" s="1"/>
  <c r="F95" i="13" s="1"/>
  <c r="H92" i="16" s="1"/>
  <c r="F86" i="13"/>
  <c r="J64" i="7"/>
  <c r="D91" i="13"/>
  <c r="D108" i="13"/>
  <c r="D90" i="13"/>
  <c r="D97" i="13"/>
  <c r="D92" i="13"/>
  <c r="D98" i="13"/>
  <c r="D93" i="13"/>
  <c r="D100" i="13"/>
  <c r="D94" i="13"/>
  <c r="D89" i="13"/>
  <c r="E22" i="15"/>
  <c r="F78" i="13"/>
  <c r="I22" i="15"/>
  <c r="O52" i="13"/>
  <c r="M71" i="7" s="1"/>
  <c r="G29" i="15"/>
  <c r="M60" i="1"/>
  <c r="D22" i="14"/>
  <c r="J22" i="14"/>
  <c r="H36" i="14"/>
  <c r="H32" i="14"/>
  <c r="H37" i="14"/>
  <c r="H33" i="14"/>
  <c r="H38" i="14"/>
  <c r="H34" i="14"/>
  <c r="H31" i="14"/>
  <c r="O68" i="13"/>
  <c r="O66" i="13"/>
  <c r="D83" i="7" s="1"/>
  <c r="O65" i="13"/>
  <c r="D82" i="7" s="1"/>
  <c r="O64" i="13"/>
  <c r="D81" i="7" s="1"/>
  <c r="O63" i="13"/>
  <c r="D80" i="7" s="1"/>
  <c r="O50" i="13"/>
  <c r="O49" i="13"/>
  <c r="M70" i="7" s="1"/>
  <c r="L40" i="13"/>
  <c r="K40" i="13"/>
  <c r="O28" i="13"/>
  <c r="M60" i="7" s="1"/>
  <c r="O16" i="13"/>
  <c r="O14" i="13"/>
  <c r="O9" i="13"/>
  <c r="M62" i="7" s="1"/>
  <c r="O6" i="13"/>
  <c r="L60" i="7"/>
  <c r="J7" i="12"/>
  <c r="B38" i="12"/>
  <c r="D30" i="11"/>
  <c r="D52" i="11" s="1"/>
  <c r="D53" i="11" s="1"/>
  <c r="C30" i="11"/>
  <c r="C52" i="11" s="1"/>
  <c r="C53" i="11" s="1"/>
  <c r="B30" i="11"/>
  <c r="B52" i="11" s="1"/>
  <c r="L76" i="11"/>
  <c r="M76" i="11"/>
  <c r="K76" i="11"/>
  <c r="O62" i="11"/>
  <c r="B79" i="7" s="1"/>
  <c r="O63" i="11"/>
  <c r="B80" i="7" s="1"/>
  <c r="O64" i="11"/>
  <c r="B81" i="7" s="1"/>
  <c r="O65" i="11"/>
  <c r="B82" i="7" s="1"/>
  <c r="O66" i="11"/>
  <c r="B83" i="7" s="1"/>
  <c r="O68" i="11"/>
  <c r="B85" i="7" s="1"/>
  <c r="O47" i="11"/>
  <c r="J69" i="7" s="1"/>
  <c r="D48" i="11"/>
  <c r="C48" i="11"/>
  <c r="B48" i="11"/>
  <c r="D47" i="11"/>
  <c r="C47" i="11"/>
  <c r="B47" i="11"/>
  <c r="D46" i="11"/>
  <c r="C46" i="11"/>
  <c r="B46" i="11"/>
  <c r="V44" i="10"/>
  <c r="V43" i="10"/>
  <c r="V42" i="10"/>
  <c r="V41" i="10"/>
  <c r="V40" i="10"/>
  <c r="V39" i="10"/>
  <c r="V38" i="10"/>
  <c r="G116" i="16" s="1"/>
  <c r="V37" i="10"/>
  <c r="V36" i="10"/>
  <c r="V35" i="10"/>
  <c r="L63" i="10"/>
  <c r="M63" i="10"/>
  <c r="N63" i="10"/>
  <c r="O63" i="10"/>
  <c r="P63" i="10"/>
  <c r="Q63" i="10"/>
  <c r="R63" i="10"/>
  <c r="S63" i="10"/>
  <c r="T63" i="10"/>
  <c r="L64" i="10"/>
  <c r="M64" i="10"/>
  <c r="N64" i="10"/>
  <c r="O64" i="10"/>
  <c r="P64" i="10"/>
  <c r="Q64" i="10"/>
  <c r="R64" i="10"/>
  <c r="W64" i="10" s="1"/>
  <c r="S64" i="10"/>
  <c r="T64" i="10"/>
  <c r="L65" i="10"/>
  <c r="M65" i="10"/>
  <c r="N65" i="10"/>
  <c r="O65" i="10"/>
  <c r="P65" i="10"/>
  <c r="Q65" i="10"/>
  <c r="R65" i="10"/>
  <c r="S65" i="10"/>
  <c r="T65" i="10"/>
  <c r="L66" i="10"/>
  <c r="M66" i="10"/>
  <c r="N66" i="10"/>
  <c r="O66" i="10"/>
  <c r="P66" i="10"/>
  <c r="Q66" i="10"/>
  <c r="R66" i="10"/>
  <c r="S66" i="10"/>
  <c r="T66" i="10"/>
  <c r="L67" i="10"/>
  <c r="M67" i="10"/>
  <c r="N67" i="10"/>
  <c r="O67" i="10"/>
  <c r="P67" i="10"/>
  <c r="Q67" i="10"/>
  <c r="R67" i="10"/>
  <c r="S67" i="10"/>
  <c r="T67" i="10"/>
  <c r="L68" i="10"/>
  <c r="M68" i="10"/>
  <c r="N68" i="10"/>
  <c r="O68" i="10"/>
  <c r="P68" i="10"/>
  <c r="Q68" i="10"/>
  <c r="R68" i="10"/>
  <c r="W68" i="10" s="1"/>
  <c r="S68" i="10"/>
  <c r="T68" i="10"/>
  <c r="L69" i="10"/>
  <c r="M69" i="10"/>
  <c r="N69" i="10"/>
  <c r="O69" i="10"/>
  <c r="P69" i="10"/>
  <c r="Q69" i="10"/>
  <c r="R69" i="10"/>
  <c r="S69" i="10"/>
  <c r="T69" i="10"/>
  <c r="L70" i="10"/>
  <c r="M70" i="10"/>
  <c r="N70" i="10"/>
  <c r="O70" i="10"/>
  <c r="P70" i="10"/>
  <c r="Q70" i="10"/>
  <c r="R70" i="10"/>
  <c r="S70" i="10"/>
  <c r="T70" i="10"/>
  <c r="L71" i="10"/>
  <c r="M71" i="10"/>
  <c r="N71" i="10"/>
  <c r="O71" i="10"/>
  <c r="P71" i="10"/>
  <c r="Q71" i="10"/>
  <c r="R71" i="10"/>
  <c r="S71" i="10"/>
  <c r="T71" i="10"/>
  <c r="K71" i="10"/>
  <c r="J71" i="10"/>
  <c r="I71" i="10"/>
  <c r="K70" i="10"/>
  <c r="J70" i="10"/>
  <c r="I70" i="10"/>
  <c r="K69" i="10"/>
  <c r="J69" i="10"/>
  <c r="I69" i="10"/>
  <c r="K68" i="10"/>
  <c r="J68" i="10"/>
  <c r="I68" i="10"/>
  <c r="K67" i="10"/>
  <c r="J67" i="10"/>
  <c r="I67" i="10"/>
  <c r="K66" i="10"/>
  <c r="J66" i="10"/>
  <c r="I66" i="10"/>
  <c r="K65" i="10"/>
  <c r="J65" i="10"/>
  <c r="I65" i="10"/>
  <c r="K64" i="10"/>
  <c r="J64" i="10"/>
  <c r="I64" i="10"/>
  <c r="K63" i="10"/>
  <c r="J63" i="10"/>
  <c r="I63" i="10"/>
  <c r="E62" i="10"/>
  <c r="F62" i="10"/>
  <c r="G62" i="10"/>
  <c r="E63" i="10"/>
  <c r="F63" i="10"/>
  <c r="G63" i="10"/>
  <c r="E64" i="10"/>
  <c r="F64" i="10"/>
  <c r="G64" i="10"/>
  <c r="E65" i="10"/>
  <c r="F65" i="10"/>
  <c r="G65" i="10"/>
  <c r="E66" i="10"/>
  <c r="F66" i="10"/>
  <c r="G66" i="10"/>
  <c r="E67" i="10"/>
  <c r="F67" i="10"/>
  <c r="G67" i="10"/>
  <c r="E68" i="10"/>
  <c r="F68" i="10"/>
  <c r="G68" i="10"/>
  <c r="E69" i="10"/>
  <c r="F69" i="10"/>
  <c r="G69" i="10"/>
  <c r="E70" i="10"/>
  <c r="F70" i="10"/>
  <c r="G70" i="10"/>
  <c r="E71" i="10"/>
  <c r="F71" i="10"/>
  <c r="G71" i="10"/>
  <c r="C62" i="10"/>
  <c r="D62" i="10"/>
  <c r="C63" i="10"/>
  <c r="D63" i="10"/>
  <c r="C64" i="10"/>
  <c r="D64" i="10"/>
  <c r="C65" i="10"/>
  <c r="D65" i="10"/>
  <c r="C66" i="10"/>
  <c r="D66" i="10"/>
  <c r="C67" i="10"/>
  <c r="D67" i="10"/>
  <c r="C68" i="10"/>
  <c r="D68" i="10"/>
  <c r="C69" i="10"/>
  <c r="D69" i="10"/>
  <c r="C70" i="10"/>
  <c r="D70" i="10"/>
  <c r="C71" i="10"/>
  <c r="D71" i="10"/>
  <c r="B63" i="10"/>
  <c r="B64" i="10"/>
  <c r="V64" i="10" s="1"/>
  <c r="B65" i="10"/>
  <c r="B66" i="10"/>
  <c r="B67" i="10"/>
  <c r="B68" i="10"/>
  <c r="V68" i="10" s="1"/>
  <c r="B69" i="10"/>
  <c r="B70" i="10"/>
  <c r="B71" i="10"/>
  <c r="B62" i="10"/>
  <c r="F48" i="11" l="1"/>
  <c r="J16" i="7" s="1"/>
  <c r="S27" i="15"/>
  <c r="W71" i="10"/>
  <c r="W67" i="10"/>
  <c r="W63" i="10"/>
  <c r="V70" i="10"/>
  <c r="I18" i="7" s="1"/>
  <c r="V66" i="10"/>
  <c r="I16" i="7" s="1"/>
  <c r="V71" i="10"/>
  <c r="V67" i="10"/>
  <c r="V62" i="10"/>
  <c r="W70" i="10"/>
  <c r="W66" i="10"/>
  <c r="F47" i="11"/>
  <c r="J15" i="7" s="1"/>
  <c r="F83" i="7"/>
  <c r="E83" i="7"/>
  <c r="F79" i="7"/>
  <c r="E79" i="7"/>
  <c r="B53" i="11"/>
  <c r="E52" i="11"/>
  <c r="L69" i="7"/>
  <c r="B80" i="12"/>
  <c r="K30" i="14"/>
  <c r="B109" i="13"/>
  <c r="F109" i="13" s="1"/>
  <c r="V63" i="10"/>
  <c r="V69" i="10"/>
  <c r="V65" i="10"/>
  <c r="I15" i="7" s="1"/>
  <c r="W69" i="10"/>
  <c r="W65" i="10"/>
  <c r="J18" i="15"/>
  <c r="G102" i="16"/>
  <c r="G46" i="16"/>
  <c r="F18" i="15"/>
  <c r="F46" i="11"/>
  <c r="F82" i="7"/>
  <c r="E82" i="7"/>
  <c r="C74" i="11"/>
  <c r="C55" i="11"/>
  <c r="C73" i="11"/>
  <c r="C75" i="11"/>
  <c r="C56" i="11"/>
  <c r="O47" i="13"/>
  <c r="M69" i="7" s="1"/>
  <c r="E81" i="7"/>
  <c r="F81" i="7"/>
  <c r="D64" i="11"/>
  <c r="D63" i="11"/>
  <c r="D67" i="11"/>
  <c r="D66" i="11"/>
  <c r="D65" i="11"/>
  <c r="D73" i="11"/>
  <c r="D75" i="11"/>
  <c r="D56" i="11"/>
  <c r="D74" i="11"/>
  <c r="D55" i="11"/>
  <c r="D68" i="11"/>
  <c r="B107" i="13"/>
  <c r="F107" i="13" s="1"/>
  <c r="E85" i="7"/>
  <c r="E80" i="7"/>
  <c r="F80" i="7"/>
  <c r="L52" i="7"/>
  <c r="B64" i="12"/>
  <c r="H105" i="16" s="1"/>
  <c r="I83" i="7"/>
  <c r="B91" i="13"/>
  <c r="F91" i="13" s="1"/>
  <c r="H106" i="16" s="1"/>
  <c r="B100" i="13"/>
  <c r="F100" i="13" s="1"/>
  <c r="B94" i="13"/>
  <c r="F94" i="13" s="1"/>
  <c r="H78" i="16" s="1"/>
  <c r="B89" i="13"/>
  <c r="F89" i="13" s="1"/>
  <c r="H120" i="16" s="1"/>
  <c r="F87" i="13"/>
  <c r="D92" i="7" s="1"/>
  <c r="I79" i="7" s="1"/>
  <c r="B108" i="13"/>
  <c r="F108" i="13" s="1"/>
  <c r="B101" i="13"/>
  <c r="F101" i="13" s="1"/>
  <c r="B90" i="13"/>
  <c r="F90" i="13" s="1"/>
  <c r="B97" i="13"/>
  <c r="F97" i="13" s="1"/>
  <c r="H36" i="16" s="1"/>
  <c r="B92" i="13"/>
  <c r="F92" i="13" s="1"/>
  <c r="H50" i="16" s="1"/>
  <c r="B98" i="13"/>
  <c r="F98" i="13" s="1"/>
  <c r="H22" i="16" s="1"/>
  <c r="B93" i="13"/>
  <c r="F93" i="13" s="1"/>
  <c r="H64" i="16" s="1"/>
  <c r="G105" i="16"/>
  <c r="V31" i="15"/>
  <c r="J21" i="15"/>
  <c r="G21" i="16"/>
  <c r="L64" i="7"/>
  <c r="D21" i="15"/>
  <c r="D28" i="15"/>
  <c r="G22" i="16"/>
  <c r="D29" i="15"/>
  <c r="D22" i="15"/>
  <c r="J31" i="14"/>
  <c r="K31" i="14"/>
  <c r="O40" i="13"/>
  <c r="D35" i="12"/>
  <c r="B29" i="12" s="1"/>
  <c r="B64" i="9"/>
  <c r="K55" i="9"/>
  <c r="K64" i="9" s="1"/>
  <c r="J55" i="9"/>
  <c r="J64" i="9" s="1"/>
  <c r="I55" i="9"/>
  <c r="I64" i="9" s="1"/>
  <c r="H55" i="9"/>
  <c r="H64" i="9" s="1"/>
  <c r="G55" i="9"/>
  <c r="G64" i="9" s="1"/>
  <c r="F55" i="9"/>
  <c r="F64" i="9" s="1"/>
  <c r="E55" i="9"/>
  <c r="E64" i="9" s="1"/>
  <c r="D55" i="9"/>
  <c r="D64" i="9" s="1"/>
  <c r="C55" i="9"/>
  <c r="C64" i="9" s="1"/>
  <c r="B55" i="9"/>
  <c r="O38" i="9"/>
  <c r="C79" i="9"/>
  <c r="C77" i="9"/>
  <c r="T43" i="9"/>
  <c r="Q23" i="9"/>
  <c r="O23" i="9"/>
  <c r="AE23" i="9" s="1"/>
  <c r="AI23" i="9"/>
  <c r="AJ23" i="9"/>
  <c r="AH24" i="9"/>
  <c r="AI24" i="9"/>
  <c r="AJ24" i="9"/>
  <c r="AH25" i="9"/>
  <c r="AI25" i="9"/>
  <c r="AJ25" i="9"/>
  <c r="AH26" i="9"/>
  <c r="AI26" i="9"/>
  <c r="AJ26" i="9"/>
  <c r="AH27" i="9"/>
  <c r="AI27" i="9"/>
  <c r="AJ27" i="9"/>
  <c r="AH28" i="9"/>
  <c r="AI28" i="9"/>
  <c r="AJ28" i="9"/>
  <c r="AH29" i="9"/>
  <c r="AI29" i="9"/>
  <c r="AJ29" i="9"/>
  <c r="AH30" i="9"/>
  <c r="AI30" i="9"/>
  <c r="AJ30" i="9"/>
  <c r="AH39" i="9"/>
  <c r="AI39" i="9"/>
  <c r="AJ39" i="9"/>
  <c r="AH40" i="9"/>
  <c r="AI40" i="9"/>
  <c r="AJ40" i="9"/>
  <c r="AH41" i="9"/>
  <c r="AI41" i="9"/>
  <c r="AJ41" i="9"/>
  <c r="AH44" i="9"/>
  <c r="AI44" i="9"/>
  <c r="AJ44" i="9"/>
  <c r="AH45" i="9"/>
  <c r="AI45" i="9"/>
  <c r="AJ45" i="9"/>
  <c r="AJ22" i="9"/>
  <c r="AI22" i="9"/>
  <c r="AH22" i="9"/>
  <c r="AF45" i="9"/>
  <c r="AE45" i="9"/>
  <c r="AD45" i="9"/>
  <c r="AF44" i="9"/>
  <c r="AE44" i="9"/>
  <c r="AD44" i="9"/>
  <c r="AF43" i="9"/>
  <c r="AD43" i="9"/>
  <c r="AF42" i="9"/>
  <c r="AF41" i="9"/>
  <c r="AE41" i="9"/>
  <c r="AD41" i="9"/>
  <c r="AF40" i="9"/>
  <c r="AE40" i="9"/>
  <c r="AD40" i="9"/>
  <c r="AF39" i="9"/>
  <c r="AE39" i="9"/>
  <c r="AD39" i="9"/>
  <c r="AD23" i="9"/>
  <c r="AF23" i="9"/>
  <c r="AD24" i="9"/>
  <c r="AE24" i="9"/>
  <c r="AF24" i="9"/>
  <c r="AD25" i="9"/>
  <c r="AE25" i="9"/>
  <c r="AF25" i="9"/>
  <c r="AD26" i="9"/>
  <c r="AE26" i="9"/>
  <c r="AF26" i="9"/>
  <c r="AD27" i="9"/>
  <c r="AE27" i="9"/>
  <c r="AF27" i="9"/>
  <c r="AD28" i="9"/>
  <c r="AE28" i="9"/>
  <c r="AF28" i="9"/>
  <c r="AD29" i="9"/>
  <c r="AE29" i="9"/>
  <c r="AF29" i="9"/>
  <c r="AD30" i="9"/>
  <c r="AE30" i="9"/>
  <c r="AF30" i="9"/>
  <c r="AF22" i="9"/>
  <c r="AE22" i="9"/>
  <c r="AD22" i="9"/>
  <c r="U43" i="9"/>
  <c r="U42" i="9"/>
  <c r="S51" i="9"/>
  <c r="S60" i="9" s="1"/>
  <c r="AB53" i="9"/>
  <c r="AB62" i="9" s="1"/>
  <c r="AA53" i="9"/>
  <c r="AA62" i="9" s="1"/>
  <c r="Z53" i="9"/>
  <c r="Z62" i="9" s="1"/>
  <c r="Y53" i="9"/>
  <c r="Y62" i="9" s="1"/>
  <c r="X53" i="9"/>
  <c r="X62" i="9" s="1"/>
  <c r="AB52" i="9"/>
  <c r="AB61" i="9" s="1"/>
  <c r="AA52" i="9"/>
  <c r="AA61" i="9" s="1"/>
  <c r="Z52" i="9"/>
  <c r="Z61" i="9" s="1"/>
  <c r="Y52" i="9"/>
  <c r="Y61" i="9" s="1"/>
  <c r="X52" i="9"/>
  <c r="X61" i="9" s="1"/>
  <c r="AB51" i="9"/>
  <c r="AB60" i="9" s="1"/>
  <c r="AA51" i="9"/>
  <c r="AA60" i="9" s="1"/>
  <c r="Z51" i="9"/>
  <c r="Z60" i="9" s="1"/>
  <c r="Y51" i="9"/>
  <c r="Y60" i="9" s="1"/>
  <c r="X51" i="9"/>
  <c r="X60" i="9" s="1"/>
  <c r="AB50" i="9"/>
  <c r="AB59" i="9" s="1"/>
  <c r="AA50" i="9"/>
  <c r="AA59" i="9" s="1"/>
  <c r="Z50" i="9"/>
  <c r="Z59" i="9" s="1"/>
  <c r="Y50" i="9"/>
  <c r="Y59" i="9" s="1"/>
  <c r="X50" i="9"/>
  <c r="X59" i="9" s="1"/>
  <c r="AB49" i="9"/>
  <c r="AB58" i="9" s="1"/>
  <c r="AA49" i="9"/>
  <c r="AA58" i="9" s="1"/>
  <c r="Z49" i="9"/>
  <c r="Z58" i="9" s="1"/>
  <c r="Y49" i="9"/>
  <c r="Y58" i="9" s="1"/>
  <c r="X49" i="9"/>
  <c r="X58" i="9" s="1"/>
  <c r="Q38" i="9"/>
  <c r="P38" i="9"/>
  <c r="N38" i="9"/>
  <c r="M38" i="9"/>
  <c r="G38" i="9"/>
  <c r="H38" i="9"/>
  <c r="I38" i="9"/>
  <c r="J38" i="9"/>
  <c r="C38" i="9"/>
  <c r="D38" i="9"/>
  <c r="E38" i="9"/>
  <c r="F38" i="9"/>
  <c r="B38" i="9"/>
  <c r="V49" i="9"/>
  <c r="V58" i="9" s="1"/>
  <c r="U49" i="9"/>
  <c r="U58" i="9" s="1"/>
  <c r="T49" i="9"/>
  <c r="T58" i="9" s="1"/>
  <c r="S49" i="9"/>
  <c r="S58" i="9" s="1"/>
  <c r="Q49" i="9"/>
  <c r="Q58" i="9" s="1"/>
  <c r="P49" i="9"/>
  <c r="P58" i="9" s="1"/>
  <c r="O49" i="9"/>
  <c r="O58" i="9" s="1"/>
  <c r="N49" i="9"/>
  <c r="N58" i="9" s="1"/>
  <c r="M49" i="9"/>
  <c r="M58" i="9" s="1"/>
  <c r="K49" i="9"/>
  <c r="K58" i="9" s="1"/>
  <c r="J49" i="9"/>
  <c r="J58" i="9" s="1"/>
  <c r="I49" i="9"/>
  <c r="I58" i="9" s="1"/>
  <c r="H49" i="9"/>
  <c r="H58" i="9" s="1"/>
  <c r="C49" i="9"/>
  <c r="C58" i="9" s="1"/>
  <c r="D49" i="9"/>
  <c r="D58" i="9" s="1"/>
  <c r="E49" i="9"/>
  <c r="E58" i="9" s="1"/>
  <c r="B49" i="9"/>
  <c r="V53" i="9"/>
  <c r="V62" i="9" s="1"/>
  <c r="S53" i="9"/>
  <c r="S62" i="9" s="1"/>
  <c r="P53" i="9"/>
  <c r="P62" i="9" s="1"/>
  <c r="O53" i="9"/>
  <c r="O62" i="9" s="1"/>
  <c r="N53" i="9"/>
  <c r="N62" i="9" s="1"/>
  <c r="M53" i="9"/>
  <c r="M62" i="9" s="1"/>
  <c r="K53" i="9"/>
  <c r="K62" i="9" s="1"/>
  <c r="J53" i="9"/>
  <c r="J62" i="9" s="1"/>
  <c r="I53" i="9"/>
  <c r="I62" i="9" s="1"/>
  <c r="H53" i="9"/>
  <c r="H62" i="9" s="1"/>
  <c r="E53" i="9"/>
  <c r="E62" i="9" s="1"/>
  <c r="D53" i="9"/>
  <c r="D62" i="9" s="1"/>
  <c r="C53" i="9"/>
  <c r="C62" i="9" s="1"/>
  <c r="B53" i="9"/>
  <c r="Q43" i="9"/>
  <c r="V52" i="9"/>
  <c r="V61" i="9" s="1"/>
  <c r="T52" i="9"/>
  <c r="T61" i="9" s="1"/>
  <c r="S52" i="9"/>
  <c r="S61" i="9" s="1"/>
  <c r="P52" i="9"/>
  <c r="P61" i="9" s="1"/>
  <c r="O52" i="9"/>
  <c r="O61" i="9" s="1"/>
  <c r="N52" i="9"/>
  <c r="N61" i="9" s="1"/>
  <c r="K52" i="9"/>
  <c r="K61" i="9" s="1"/>
  <c r="J52" i="9"/>
  <c r="J61" i="9" s="1"/>
  <c r="I52" i="9"/>
  <c r="I61" i="9" s="1"/>
  <c r="C52" i="9"/>
  <c r="C61" i="9" s="1"/>
  <c r="B52" i="9"/>
  <c r="Q42" i="9"/>
  <c r="M42" i="9"/>
  <c r="H42" i="9"/>
  <c r="E42" i="9"/>
  <c r="D42" i="9"/>
  <c r="V51" i="9"/>
  <c r="V60" i="9" s="1"/>
  <c r="U51" i="9"/>
  <c r="U60" i="9" s="1"/>
  <c r="T51" i="9"/>
  <c r="T60" i="9" s="1"/>
  <c r="Q51" i="9"/>
  <c r="Q60" i="9" s="1"/>
  <c r="P51" i="9"/>
  <c r="P60" i="9" s="1"/>
  <c r="O51" i="9"/>
  <c r="O60" i="9" s="1"/>
  <c r="N51" i="9"/>
  <c r="N60" i="9" s="1"/>
  <c r="M51" i="9"/>
  <c r="M60" i="9" s="1"/>
  <c r="K51" i="9"/>
  <c r="K60" i="9" s="1"/>
  <c r="J51" i="9"/>
  <c r="J60" i="9" s="1"/>
  <c r="I51" i="9"/>
  <c r="I60" i="9" s="1"/>
  <c r="H51" i="9"/>
  <c r="H60" i="9" s="1"/>
  <c r="C51" i="9"/>
  <c r="C60" i="9" s="1"/>
  <c r="D51" i="9"/>
  <c r="D60" i="9" s="1"/>
  <c r="E51" i="9"/>
  <c r="E60" i="9" s="1"/>
  <c r="B51" i="9"/>
  <c r="M50" i="9"/>
  <c r="M59" i="9" s="1"/>
  <c r="N50" i="9"/>
  <c r="N59" i="9" s="1"/>
  <c r="C50" i="9"/>
  <c r="C59" i="9" s="1"/>
  <c r="D50" i="9"/>
  <c r="D59" i="9" s="1"/>
  <c r="E50" i="9"/>
  <c r="E59" i="9" s="1"/>
  <c r="H50" i="9"/>
  <c r="H59" i="9" s="1"/>
  <c r="I50" i="9"/>
  <c r="I59" i="9" s="1"/>
  <c r="J50" i="9"/>
  <c r="J59" i="9" s="1"/>
  <c r="K50" i="9"/>
  <c r="K59" i="9" s="1"/>
  <c r="O50" i="9"/>
  <c r="O59" i="9" s="1"/>
  <c r="P50" i="9"/>
  <c r="P59" i="9" s="1"/>
  <c r="Q50" i="9"/>
  <c r="Q59" i="9" s="1"/>
  <c r="S50" i="9"/>
  <c r="S59" i="9" s="1"/>
  <c r="T50" i="9"/>
  <c r="T59" i="9" s="1"/>
  <c r="U50" i="9"/>
  <c r="U59" i="9" s="1"/>
  <c r="V50" i="9"/>
  <c r="V59" i="9" s="1"/>
  <c r="B50" i="9"/>
  <c r="C34" i="8"/>
  <c r="D34" i="8"/>
  <c r="E34" i="8"/>
  <c r="F34" i="8"/>
  <c r="G34" i="8"/>
  <c r="C35" i="8"/>
  <c r="D35" i="8"/>
  <c r="E35" i="8"/>
  <c r="F35" i="8"/>
  <c r="G35" i="8"/>
  <c r="C37" i="8"/>
  <c r="D37" i="8"/>
  <c r="E37" i="8"/>
  <c r="F37" i="8"/>
  <c r="G37" i="8"/>
  <c r="C40" i="8"/>
  <c r="D40" i="8"/>
  <c r="E40" i="8"/>
  <c r="F40" i="8"/>
  <c r="G40" i="8"/>
  <c r="B35" i="8"/>
  <c r="B37" i="8"/>
  <c r="I37" i="8" s="1"/>
  <c r="B40" i="8"/>
  <c r="B34" i="8"/>
  <c r="I34" i="8" s="1"/>
  <c r="C56" i="8"/>
  <c r="C38" i="8" s="1"/>
  <c r="C54" i="8"/>
  <c r="C36" i="8" s="1"/>
  <c r="D54" i="8"/>
  <c r="D36" i="8" s="1"/>
  <c r="E54" i="8"/>
  <c r="E36" i="8" s="1"/>
  <c r="F54" i="8"/>
  <c r="F36" i="8" s="1"/>
  <c r="G54" i="8"/>
  <c r="G36" i="8" s="1"/>
  <c r="B54" i="8"/>
  <c r="B36" i="8" s="1"/>
  <c r="G47" i="8"/>
  <c r="G46" i="8"/>
  <c r="G57" i="8" s="1"/>
  <c r="G39" i="8" s="1"/>
  <c r="G45" i="8"/>
  <c r="F47" i="8"/>
  <c r="F56" i="8" s="1"/>
  <c r="F38" i="8" s="1"/>
  <c r="F46" i="8"/>
  <c r="F45" i="8"/>
  <c r="E47" i="8"/>
  <c r="E46" i="8"/>
  <c r="E57" i="8" s="1"/>
  <c r="E39" i="8" s="1"/>
  <c r="E45" i="8"/>
  <c r="E56" i="8" s="1"/>
  <c r="E38" i="8" s="1"/>
  <c r="D47" i="8"/>
  <c r="D56" i="8" s="1"/>
  <c r="D38" i="8" s="1"/>
  <c r="C46" i="8"/>
  <c r="C57" i="8" s="1"/>
  <c r="C39" i="8" s="1"/>
  <c r="B47" i="8"/>
  <c r="B56" i="8" s="1"/>
  <c r="B38" i="8" s="1"/>
  <c r="B46" i="8"/>
  <c r="B45" i="8"/>
  <c r="G17" i="8"/>
  <c r="F17" i="8"/>
  <c r="F26" i="8" s="1"/>
  <c r="E17" i="8"/>
  <c r="E26" i="8" s="1"/>
  <c r="D17" i="8"/>
  <c r="D26" i="8" s="1"/>
  <c r="B17" i="8"/>
  <c r="C26" i="8"/>
  <c r="G26" i="8"/>
  <c r="B26" i="8"/>
  <c r="G13" i="8"/>
  <c r="G25" i="8" s="1"/>
  <c r="F13" i="8"/>
  <c r="F25" i="8" s="1"/>
  <c r="E13" i="8"/>
  <c r="E25" i="8" s="1"/>
  <c r="D13" i="8"/>
  <c r="D25" i="8" s="1"/>
  <c r="C13" i="8"/>
  <c r="C25" i="8" s="1"/>
  <c r="B13" i="8"/>
  <c r="B25" i="8" s="1"/>
  <c r="X2" i="7"/>
  <c r="X3" i="7"/>
  <c r="D15" i="1"/>
  <c r="B11" i="3"/>
  <c r="C11" i="3"/>
  <c r="B12" i="3"/>
  <c r="C12" i="3"/>
  <c r="E14" i="3"/>
  <c r="G14" i="3" s="1"/>
  <c r="C15" i="3"/>
  <c r="C35" i="3" s="1"/>
  <c r="B16" i="3"/>
  <c r="C16" i="3"/>
  <c r="C36" i="3" s="1"/>
  <c r="D22" i="3"/>
  <c r="D23" i="3"/>
  <c r="D24" i="3"/>
  <c r="D26" i="3"/>
  <c r="D27" i="3"/>
  <c r="D28" i="3"/>
  <c r="D8" i="2"/>
  <c r="D13" i="2"/>
  <c r="D24" i="2"/>
  <c r="B35" i="2"/>
  <c r="B36" i="2"/>
  <c r="B37" i="2"/>
  <c r="F53" i="7" s="1"/>
  <c r="B38" i="2"/>
  <c r="B39" i="2"/>
  <c r="B40" i="2"/>
  <c r="D43" i="2"/>
  <c r="F5" i="7" s="1"/>
  <c r="C44" i="2"/>
  <c r="D44" i="2"/>
  <c r="E44" i="2" s="1"/>
  <c r="D45" i="2"/>
  <c r="D46" i="2"/>
  <c r="D47" i="2"/>
  <c r="D48" i="2"/>
  <c r="B49" i="2"/>
  <c r="F21" i="7" s="1"/>
  <c r="D49" i="2"/>
  <c r="F9" i="7" s="1"/>
  <c r="B56" i="2"/>
  <c r="B61" i="2" s="1"/>
  <c r="B62" i="2" s="1"/>
  <c r="B57" i="2"/>
  <c r="D8" i="4"/>
  <c r="F8" i="4"/>
  <c r="D13" i="4"/>
  <c r="B21" i="4"/>
  <c r="B35" i="4" s="1"/>
  <c r="D24" i="4"/>
  <c r="D43" i="4"/>
  <c r="C44" i="4"/>
  <c r="D44" i="4"/>
  <c r="E44" i="4" s="1"/>
  <c r="D45" i="4"/>
  <c r="B56" i="4"/>
  <c r="B61" i="4" s="1"/>
  <c r="B62" i="4" s="1"/>
  <c r="B57" i="4"/>
  <c r="D8" i="5"/>
  <c r="D13" i="5"/>
  <c r="D25" i="5"/>
  <c r="B43" i="5"/>
  <c r="D17" i="7" s="1"/>
  <c r="D43" i="5"/>
  <c r="D5" i="7" s="1"/>
  <c r="C44" i="5"/>
  <c r="D44" i="5"/>
  <c r="E44" i="5" s="1"/>
  <c r="D45" i="5"/>
  <c r="D4" i="7" s="1"/>
  <c r="B56" i="5"/>
  <c r="B57" i="5"/>
  <c r="C56" i="7"/>
  <c r="G82" i="16" s="1"/>
  <c r="C4" i="7"/>
  <c r="C6" i="7"/>
  <c r="C7" i="7"/>
  <c r="O7" i="1"/>
  <c r="O8" i="1"/>
  <c r="O9" i="1"/>
  <c r="O10" i="1"/>
  <c r="O11" i="1"/>
  <c r="O12" i="1"/>
  <c r="B63" i="7" s="1"/>
  <c r="O63" i="7" s="1"/>
  <c r="D13" i="1"/>
  <c r="O13" i="1"/>
  <c r="O14" i="1"/>
  <c r="O15" i="1"/>
  <c r="B59" i="7" s="1"/>
  <c r="G25" i="16" s="1"/>
  <c r="O16" i="1"/>
  <c r="O17" i="1"/>
  <c r="B60" i="7" s="1"/>
  <c r="G11" i="16" s="1"/>
  <c r="M14" i="16" s="1"/>
  <c r="O18" i="1"/>
  <c r="O19" i="1"/>
  <c r="O20" i="1"/>
  <c r="O21" i="1"/>
  <c r="O22" i="1"/>
  <c r="O23" i="1"/>
  <c r="O24" i="1"/>
  <c r="O25" i="1"/>
  <c r="B61" i="7" s="1"/>
  <c r="O61" i="7" s="1"/>
  <c r="O26" i="1"/>
  <c r="B66" i="7" s="1"/>
  <c r="B27" i="1"/>
  <c r="C27" i="1"/>
  <c r="D27" i="1"/>
  <c r="E27" i="1"/>
  <c r="O27" i="1"/>
  <c r="B28" i="1"/>
  <c r="C28" i="1"/>
  <c r="D28" i="1"/>
  <c r="E28" i="1"/>
  <c r="O28" i="1"/>
  <c r="O29" i="1"/>
  <c r="O30" i="1"/>
  <c r="B31" i="1"/>
  <c r="C31" i="1"/>
  <c r="D31" i="1"/>
  <c r="D83" i="1" s="1"/>
  <c r="D84" i="1" s="1"/>
  <c r="E31" i="1"/>
  <c r="O31" i="1"/>
  <c r="B32" i="1"/>
  <c r="C32" i="1"/>
  <c r="D32" i="1"/>
  <c r="E32" i="1"/>
  <c r="O32" i="1"/>
  <c r="O33" i="1"/>
  <c r="O34" i="1"/>
  <c r="B35" i="1"/>
  <c r="C35" i="1"/>
  <c r="R17" i="1" s="1"/>
  <c r="D35" i="1"/>
  <c r="E35" i="1"/>
  <c r="T17" i="1" s="1"/>
  <c r="O35" i="1"/>
  <c r="B36" i="1"/>
  <c r="Q18" i="1" s="1"/>
  <c r="C36" i="1"/>
  <c r="R18" i="1" s="1"/>
  <c r="D36" i="1"/>
  <c r="S18" i="1" s="1"/>
  <c r="E36" i="1"/>
  <c r="T18" i="1" s="1"/>
  <c r="O36" i="1"/>
  <c r="O37" i="1"/>
  <c r="O38" i="1"/>
  <c r="B39" i="1"/>
  <c r="C39" i="1"/>
  <c r="D39" i="1"/>
  <c r="D65" i="1" s="1"/>
  <c r="D87" i="1" s="1"/>
  <c r="E39" i="1"/>
  <c r="B40" i="1"/>
  <c r="C40" i="1"/>
  <c r="D40" i="1"/>
  <c r="E40" i="1"/>
  <c r="J40" i="1"/>
  <c r="K40" i="1"/>
  <c r="L40" i="1"/>
  <c r="D99" i="1" s="1"/>
  <c r="M40" i="1"/>
  <c r="B41" i="1"/>
  <c r="C41" i="1"/>
  <c r="D41" i="1"/>
  <c r="E41" i="1"/>
  <c r="B3" i="7"/>
  <c r="O45" i="1"/>
  <c r="J47" i="1"/>
  <c r="K47" i="1"/>
  <c r="L47" i="1"/>
  <c r="M47" i="1"/>
  <c r="J48" i="1"/>
  <c r="K48" i="1"/>
  <c r="L48" i="1"/>
  <c r="M48" i="1"/>
  <c r="J49" i="1"/>
  <c r="K49" i="1"/>
  <c r="L49" i="1"/>
  <c r="M49" i="1"/>
  <c r="B54" i="1"/>
  <c r="C54" i="1"/>
  <c r="D54" i="1"/>
  <c r="E54" i="1"/>
  <c r="B55" i="1"/>
  <c r="C55" i="1"/>
  <c r="D55" i="1"/>
  <c r="E55" i="1"/>
  <c r="B56" i="1"/>
  <c r="C56" i="1"/>
  <c r="D56" i="1"/>
  <c r="E56" i="1"/>
  <c r="D60" i="1"/>
  <c r="E73" i="1"/>
  <c r="E74" i="1"/>
  <c r="E75" i="1"/>
  <c r="B77" i="1"/>
  <c r="E78" i="1"/>
  <c r="E79" i="1"/>
  <c r="C3" i="7"/>
  <c r="D3" i="7"/>
  <c r="E3" i="7"/>
  <c r="F3" i="7"/>
  <c r="G3" i="7"/>
  <c r="E4" i="7"/>
  <c r="F4" i="7"/>
  <c r="G4" i="7"/>
  <c r="C5" i="7"/>
  <c r="E5" i="7"/>
  <c r="F6" i="7"/>
  <c r="F7" i="7"/>
  <c r="C8" i="7"/>
  <c r="F8" i="7"/>
  <c r="C50" i="7"/>
  <c r="G110" i="16" s="1"/>
  <c r="F50" i="7"/>
  <c r="C51" i="7"/>
  <c r="F51" i="7"/>
  <c r="C52" i="7"/>
  <c r="G96" i="16" s="1"/>
  <c r="E52" i="7"/>
  <c r="G98" i="16" s="1"/>
  <c r="F52" i="7"/>
  <c r="G52" i="7"/>
  <c r="G100" i="16" s="1"/>
  <c r="C53" i="7"/>
  <c r="G40" i="16" s="1"/>
  <c r="C54" i="7"/>
  <c r="G54" i="16" s="1"/>
  <c r="F54" i="7"/>
  <c r="C55" i="7"/>
  <c r="G68" i="16" s="1"/>
  <c r="F55" i="7"/>
  <c r="F56" i="7"/>
  <c r="B62" i="7"/>
  <c r="O62" i="7" s="1"/>
  <c r="C70" i="7"/>
  <c r="E70" i="7"/>
  <c r="F70" i="7"/>
  <c r="C71" i="7"/>
  <c r="E71" i="7"/>
  <c r="F71" i="7"/>
  <c r="I81" i="7" l="1"/>
  <c r="I82" i="7"/>
  <c r="B64" i="4"/>
  <c r="H112" i="16" s="1"/>
  <c r="B69" i="2"/>
  <c r="H71" i="16" s="1"/>
  <c r="B64" i="2"/>
  <c r="H113" i="16" s="1"/>
  <c r="B15" i="3"/>
  <c r="E12" i="3"/>
  <c r="G17" i="7" s="1"/>
  <c r="AL42" i="9"/>
  <c r="E83" i="1"/>
  <c r="E84" i="1" s="1"/>
  <c r="E99" i="1" s="1"/>
  <c r="F13" i="4"/>
  <c r="B67" i="2"/>
  <c r="H43" i="16" s="1"/>
  <c r="B66" i="2"/>
  <c r="H99" i="16" s="1"/>
  <c r="B83" i="2"/>
  <c r="B82" i="2"/>
  <c r="B84" i="2"/>
  <c r="B68" i="2"/>
  <c r="H57" i="16" s="1"/>
  <c r="I46" i="8"/>
  <c r="J46" i="8" s="1"/>
  <c r="F57" i="8"/>
  <c r="F39" i="8" s="1"/>
  <c r="G56" i="8"/>
  <c r="G38" i="8" s="1"/>
  <c r="I35" i="8"/>
  <c r="B66" i="4"/>
  <c r="H98" i="16" s="1"/>
  <c r="B83" i="4"/>
  <c r="B82" i="4"/>
  <c r="B84" i="4"/>
  <c r="E35" i="2"/>
  <c r="I40" i="8"/>
  <c r="I80" i="7"/>
  <c r="B65" i="11"/>
  <c r="E65" i="11" s="1"/>
  <c r="B64" i="11"/>
  <c r="E64" i="11" s="1"/>
  <c r="H19" i="16" s="1"/>
  <c r="B67" i="11"/>
  <c r="E67" i="11" s="1"/>
  <c r="B63" i="11"/>
  <c r="E63" i="11" s="1"/>
  <c r="H33" i="16" s="1"/>
  <c r="N25" i="16" s="1"/>
  <c r="B66" i="11"/>
  <c r="E66" i="11" s="1"/>
  <c r="E71" i="11"/>
  <c r="F71" i="11" s="1"/>
  <c r="E53" i="11"/>
  <c r="B92" i="7" s="1"/>
  <c r="B74" i="11"/>
  <c r="E74" i="11" s="1"/>
  <c r="B55" i="11"/>
  <c r="E55" i="11" s="1"/>
  <c r="B73" i="11"/>
  <c r="E73" i="11" s="1"/>
  <c r="B75" i="11"/>
  <c r="E75" i="11" s="1"/>
  <c r="B56" i="11"/>
  <c r="E56" i="11" s="1"/>
  <c r="B68" i="11"/>
  <c r="E68" i="11" s="1"/>
  <c r="D102" i="1"/>
  <c r="D104" i="1"/>
  <c r="D101" i="1"/>
  <c r="D98" i="1"/>
  <c r="D97" i="1"/>
  <c r="D96" i="1"/>
  <c r="D95" i="1"/>
  <c r="D94" i="1"/>
  <c r="B61" i="5"/>
  <c r="B62" i="5" s="1"/>
  <c r="F13" i="5"/>
  <c r="B70" i="2"/>
  <c r="H85" i="16" s="1"/>
  <c r="B65" i="2"/>
  <c r="F8" i="2"/>
  <c r="E16" i="3"/>
  <c r="G51" i="7" s="1"/>
  <c r="B36" i="3"/>
  <c r="D36" i="3" s="1"/>
  <c r="E11" i="3"/>
  <c r="G5" i="7" s="1"/>
  <c r="O8" i="7"/>
  <c r="S8" i="7" s="1"/>
  <c r="M84" i="16"/>
  <c r="M28" i="16"/>
  <c r="M25" i="16"/>
  <c r="M26" i="16"/>
  <c r="M70" i="16"/>
  <c r="M12" i="16"/>
  <c r="M11" i="16"/>
  <c r="M81" i="16"/>
  <c r="M82" i="16"/>
  <c r="M68" i="16"/>
  <c r="M67" i="16"/>
  <c r="B60" i="9"/>
  <c r="AH60" i="9" s="1"/>
  <c r="H16" i="7" s="1"/>
  <c r="AD51" i="9"/>
  <c r="H4" i="7" s="1"/>
  <c r="D52" i="9"/>
  <c r="D61" i="9" s="1"/>
  <c r="D189" i="9"/>
  <c r="H53" i="7"/>
  <c r="G45" i="16" s="1"/>
  <c r="M42" i="16" s="1"/>
  <c r="Q52" i="9"/>
  <c r="Q61" i="9" s="1"/>
  <c r="Q189" i="9"/>
  <c r="Q53" i="9"/>
  <c r="Q62" i="9" s="1"/>
  <c r="Q190" i="9"/>
  <c r="AD190" i="9" s="1"/>
  <c r="H59" i="16" s="1"/>
  <c r="AL43" i="9"/>
  <c r="H54" i="7" s="1"/>
  <c r="G59" i="16" s="1"/>
  <c r="U53" i="9"/>
  <c r="U62" i="9" s="1"/>
  <c r="U190" i="9"/>
  <c r="T53" i="9"/>
  <c r="T62" i="9" s="1"/>
  <c r="T190" i="9"/>
  <c r="AL38" i="9"/>
  <c r="H69" i="7" s="1"/>
  <c r="B59" i="9"/>
  <c r="AH59" i="9" s="1"/>
  <c r="H15" i="7" s="1"/>
  <c r="AD50" i="9"/>
  <c r="H3" i="7" s="1"/>
  <c r="P3" i="7" s="1"/>
  <c r="M52" i="9"/>
  <c r="M61" i="9" s="1"/>
  <c r="M189" i="9"/>
  <c r="B58" i="9"/>
  <c r="AH58" i="9" s="1"/>
  <c r="H17" i="7" s="1"/>
  <c r="AD49" i="9"/>
  <c r="H5" i="7" s="1"/>
  <c r="U52" i="9"/>
  <c r="U61" i="9" s="1"/>
  <c r="U189" i="9"/>
  <c r="AD59" i="9"/>
  <c r="AD60" i="9"/>
  <c r="H52" i="9"/>
  <c r="H61" i="9" s="1"/>
  <c r="H189" i="9"/>
  <c r="AD58" i="9"/>
  <c r="E52" i="9"/>
  <c r="E61" i="9" s="1"/>
  <c r="E189" i="9"/>
  <c r="B61" i="9"/>
  <c r="B62" i="9"/>
  <c r="C9" i="7"/>
  <c r="O9" i="7" s="1"/>
  <c r="S9" i="7" s="1"/>
  <c r="C21" i="7"/>
  <c r="B83" i="1"/>
  <c r="C83" i="1"/>
  <c r="C84" i="1" s="1"/>
  <c r="B29" i="1"/>
  <c r="K51" i="1"/>
  <c r="K53" i="1" s="1"/>
  <c r="L51" i="1"/>
  <c r="L53" i="1" s="1"/>
  <c r="B37" i="1"/>
  <c r="E33" i="1"/>
  <c r="B33" i="1"/>
  <c r="G54" i="1"/>
  <c r="C29" i="1"/>
  <c r="E77" i="1"/>
  <c r="B21" i="7"/>
  <c r="V27" i="15"/>
  <c r="J14" i="15"/>
  <c r="G15" i="15"/>
  <c r="M27" i="15"/>
  <c r="V28" i="15"/>
  <c r="J15" i="15"/>
  <c r="O66" i="7"/>
  <c r="P66" i="7"/>
  <c r="O55" i="7"/>
  <c r="P28" i="15"/>
  <c r="H12" i="15"/>
  <c r="V29" i="15"/>
  <c r="J16" i="15"/>
  <c r="O59" i="7"/>
  <c r="E11" i="15"/>
  <c r="G26" i="15"/>
  <c r="O56" i="7"/>
  <c r="I12" i="15"/>
  <c r="S28" i="15"/>
  <c r="M30" i="15"/>
  <c r="G12" i="15"/>
  <c r="H15" i="15"/>
  <c r="P26" i="15"/>
  <c r="F12" i="15"/>
  <c r="J29" i="15"/>
  <c r="J12" i="15"/>
  <c r="V32" i="15"/>
  <c r="O60" i="7"/>
  <c r="D26" i="15"/>
  <c r="D11" i="15"/>
  <c r="S26" i="15"/>
  <c r="I15" i="15"/>
  <c r="J26" i="15"/>
  <c r="F15" i="15"/>
  <c r="P8" i="7"/>
  <c r="Q8" i="7" s="1"/>
  <c r="O53" i="7"/>
  <c r="P63" i="7"/>
  <c r="Q63" i="7" s="1"/>
  <c r="P62" i="7"/>
  <c r="Q62" i="7" s="1"/>
  <c r="P59" i="7"/>
  <c r="P61" i="7"/>
  <c r="Q61" i="7" s="1"/>
  <c r="P60" i="7"/>
  <c r="P55" i="7"/>
  <c r="P56" i="7"/>
  <c r="E69" i="7"/>
  <c r="C69" i="7"/>
  <c r="F35" i="4"/>
  <c r="E50" i="7"/>
  <c r="G112" i="16" s="1"/>
  <c r="I38" i="8"/>
  <c r="I36" i="8"/>
  <c r="AD64" i="9"/>
  <c r="I45" i="8"/>
  <c r="J45" i="8" s="1"/>
  <c r="D68" i="1"/>
  <c r="B36" i="4"/>
  <c r="I47" i="8"/>
  <c r="J47" i="8" s="1"/>
  <c r="B57" i="8"/>
  <c r="B39" i="8" s="1"/>
  <c r="D57" i="8"/>
  <c r="D39" i="8" s="1"/>
  <c r="AH23" i="9"/>
  <c r="F8" i="5"/>
  <c r="F13" i="2"/>
  <c r="E29" i="1"/>
  <c r="C37" i="1"/>
  <c r="Q17" i="1"/>
  <c r="D37" i="1"/>
  <c r="V18" i="1"/>
  <c r="B67" i="7"/>
  <c r="C33" i="1"/>
  <c r="D29" i="1"/>
  <c r="G36" i="1"/>
  <c r="D33" i="1"/>
  <c r="S17" i="1"/>
  <c r="V17" i="1" s="1"/>
  <c r="D66" i="1"/>
  <c r="D88" i="1" s="1"/>
  <c r="G35" i="1"/>
  <c r="J51" i="1"/>
  <c r="J53" i="1" s="1"/>
  <c r="E60" i="1"/>
  <c r="E68" i="1" s="1"/>
  <c r="M51" i="1"/>
  <c r="M53" i="1" s="1"/>
  <c r="O40" i="1"/>
  <c r="C60" i="1"/>
  <c r="C64" i="1" s="1"/>
  <c r="C86" i="1" s="1"/>
  <c r="W18" i="1"/>
  <c r="E67" i="1"/>
  <c r="E90" i="1" s="1"/>
  <c r="D67" i="1"/>
  <c r="D90" i="1" s="1"/>
  <c r="B4" i="7"/>
  <c r="D64" i="1"/>
  <c r="D86" i="1" s="1"/>
  <c r="B60" i="1"/>
  <c r="B64" i="1" s="1"/>
  <c r="B5" i="7"/>
  <c r="E37" i="1"/>
  <c r="F69" i="7"/>
  <c r="O50" i="11"/>
  <c r="J71" i="7" s="1"/>
  <c r="O49" i="11"/>
  <c r="J70" i="7" s="1"/>
  <c r="AE42" i="9"/>
  <c r="AJ43" i="9"/>
  <c r="AI42" i="9"/>
  <c r="AD42" i="9"/>
  <c r="AE43" i="9"/>
  <c r="AJ42" i="9"/>
  <c r="AH43" i="9"/>
  <c r="AI43" i="9"/>
  <c r="AH42" i="9"/>
  <c r="J54" i="1" l="1"/>
  <c r="E51" i="7"/>
  <c r="B65" i="4"/>
  <c r="L54" i="1"/>
  <c r="D106" i="1" s="1"/>
  <c r="D105" i="1"/>
  <c r="B84" i="1"/>
  <c r="F83" i="1"/>
  <c r="N82" i="16"/>
  <c r="N81" i="16"/>
  <c r="M54" i="1"/>
  <c r="E106" i="1" s="1"/>
  <c r="E105" i="1"/>
  <c r="K54" i="1"/>
  <c r="C106" i="1" s="1"/>
  <c r="C105" i="1"/>
  <c r="N39" i="16"/>
  <c r="N68" i="16"/>
  <c r="N67" i="16"/>
  <c r="G29" i="1"/>
  <c r="G90" i="7"/>
  <c r="J90" i="7" s="1"/>
  <c r="G88" i="7"/>
  <c r="J88" i="7" s="1"/>
  <c r="G79" i="7"/>
  <c r="G83" i="7"/>
  <c r="G80" i="7"/>
  <c r="G82" i="7"/>
  <c r="G81" i="7"/>
  <c r="G85" i="7"/>
  <c r="J85" i="7" s="1"/>
  <c r="B86" i="1"/>
  <c r="C102" i="1"/>
  <c r="C104" i="1"/>
  <c r="C101" i="1"/>
  <c r="C98" i="1"/>
  <c r="C97" i="1"/>
  <c r="C96" i="1"/>
  <c r="C95" i="1"/>
  <c r="C94" i="1"/>
  <c r="AD189" i="9"/>
  <c r="H45" i="16" s="1"/>
  <c r="N40" i="16" s="1"/>
  <c r="C99" i="1"/>
  <c r="E102" i="1"/>
  <c r="E104" i="1"/>
  <c r="E101" i="1"/>
  <c r="E98" i="1"/>
  <c r="E97" i="1"/>
  <c r="E96" i="1"/>
  <c r="E95" i="1"/>
  <c r="E94" i="1"/>
  <c r="B35" i="3"/>
  <c r="D35" i="3" s="1"/>
  <c r="H114" i="16" s="1"/>
  <c r="E15" i="3"/>
  <c r="G50" i="7" s="1"/>
  <c r="G114" i="16" s="1"/>
  <c r="P9" i="7"/>
  <c r="Q9" i="7" s="1"/>
  <c r="O3" i="7"/>
  <c r="R3" i="7" s="1"/>
  <c r="Q66" i="7"/>
  <c r="O5" i="7"/>
  <c r="R5" i="7" s="1"/>
  <c r="P53" i="7"/>
  <c r="Q53" i="7" s="1"/>
  <c r="M39" i="16"/>
  <c r="M27" i="16"/>
  <c r="M40" i="16"/>
  <c r="Q60" i="7"/>
  <c r="M69" i="16"/>
  <c r="M13" i="16"/>
  <c r="M83" i="16"/>
  <c r="Q55" i="7"/>
  <c r="Q56" i="7"/>
  <c r="Q59" i="7"/>
  <c r="AH61" i="9"/>
  <c r="H18" i="7" s="1"/>
  <c r="AD61" i="9"/>
  <c r="AH62" i="9"/>
  <c r="H19" i="7" s="1"/>
  <c r="AD62" i="9"/>
  <c r="F17" i="15"/>
  <c r="J27" i="15"/>
  <c r="AD52" i="9"/>
  <c r="H6" i="7" s="1"/>
  <c r="G17" i="15"/>
  <c r="M28" i="15"/>
  <c r="AD53" i="9"/>
  <c r="H7" i="7" s="1"/>
  <c r="C68" i="1"/>
  <c r="G43" i="1"/>
  <c r="B15" i="7" s="1"/>
  <c r="G52" i="1"/>
  <c r="O21" i="7"/>
  <c r="P21" i="7"/>
  <c r="B6" i="7"/>
  <c r="G55" i="1"/>
  <c r="G33" i="1"/>
  <c r="X18" i="1"/>
  <c r="O67" i="7"/>
  <c r="P67" i="7"/>
  <c r="B64" i="7"/>
  <c r="P4" i="7"/>
  <c r="O4" i="7"/>
  <c r="S4" i="7" s="1"/>
  <c r="P5" i="7"/>
  <c r="Q5" i="7" s="1"/>
  <c r="R8" i="7"/>
  <c r="R9" i="7"/>
  <c r="C67" i="1"/>
  <c r="C90" i="1" s="1"/>
  <c r="I39" i="8"/>
  <c r="E65" i="1"/>
  <c r="E87" i="1" s="1"/>
  <c r="O54" i="1"/>
  <c r="B71" i="7" s="1"/>
  <c r="O71" i="7" s="1"/>
  <c r="E66" i="1"/>
  <c r="E88" i="1" s="1"/>
  <c r="C65" i="1"/>
  <c r="C87" i="1" s="1"/>
  <c r="G37" i="1"/>
  <c r="C66" i="1"/>
  <c r="C88" i="1" s="1"/>
  <c r="E64" i="1"/>
  <c r="O53" i="1"/>
  <c r="B70" i="7" s="1"/>
  <c r="B66" i="1"/>
  <c r="B88" i="1" s="1"/>
  <c r="W17" i="1"/>
  <c r="X17" i="1" s="1"/>
  <c r="B65" i="1"/>
  <c r="B67" i="1"/>
  <c r="B90" i="1" s="1"/>
  <c r="B68" i="1"/>
  <c r="F68" i="1" s="1"/>
  <c r="AF58" i="9"/>
  <c r="N41" i="16" l="1"/>
  <c r="M41" i="16"/>
  <c r="F65" i="1"/>
  <c r="B51" i="7" s="1"/>
  <c r="B87" i="1"/>
  <c r="K80" i="7"/>
  <c r="J80" i="7"/>
  <c r="G90" i="1"/>
  <c r="H90" i="1" s="1"/>
  <c r="F90" i="1"/>
  <c r="H53" i="16" s="1"/>
  <c r="K83" i="7"/>
  <c r="J83" i="7"/>
  <c r="K81" i="7"/>
  <c r="J81" i="7"/>
  <c r="J79" i="7"/>
  <c r="K79" i="7"/>
  <c r="B102" i="1"/>
  <c r="B104" i="1"/>
  <c r="B101" i="1"/>
  <c r="B98" i="1"/>
  <c r="B97" i="1"/>
  <c r="B96" i="1"/>
  <c r="B95" i="1"/>
  <c r="B94" i="1"/>
  <c r="F84" i="1"/>
  <c r="B99" i="1"/>
  <c r="F64" i="1"/>
  <c r="B50" i="7" s="1"/>
  <c r="G109" i="16" s="1"/>
  <c r="M109" i="16" s="1"/>
  <c r="E86" i="1"/>
  <c r="P83" i="16"/>
  <c r="K82" i="7"/>
  <c r="J82" i="7"/>
  <c r="N69" i="16"/>
  <c r="P69" i="16" s="1"/>
  <c r="N83" i="16"/>
  <c r="B105" i="1"/>
  <c r="G88" i="1"/>
  <c r="F88" i="1"/>
  <c r="H95" i="16" s="1"/>
  <c r="F86" i="1"/>
  <c r="H109" i="16" s="1"/>
  <c r="G86" i="1"/>
  <c r="B106" i="1"/>
  <c r="S3" i="7"/>
  <c r="Q3" i="7"/>
  <c r="Q67" i="7"/>
  <c r="M112" i="16"/>
  <c r="Q21" i="7"/>
  <c r="Q4" i="7"/>
  <c r="O19" i="7"/>
  <c r="P19" i="7"/>
  <c r="P18" i="7"/>
  <c r="O18" i="7"/>
  <c r="P7" i="7"/>
  <c r="O7" i="7"/>
  <c r="F67" i="1"/>
  <c r="B54" i="7" s="1"/>
  <c r="G53" i="16" s="1"/>
  <c r="G46" i="1"/>
  <c r="B16" i="7" s="1"/>
  <c r="P16" i="7" s="1"/>
  <c r="G49" i="1"/>
  <c r="B17" i="7" s="1"/>
  <c r="P17" i="7" s="1"/>
  <c r="P50" i="7"/>
  <c r="P15" i="7"/>
  <c r="O15" i="7"/>
  <c r="P6" i="7"/>
  <c r="O6" i="7"/>
  <c r="O16" i="7"/>
  <c r="M26" i="15"/>
  <c r="O51" i="7"/>
  <c r="P51" i="7"/>
  <c r="P70" i="7"/>
  <c r="O70" i="7"/>
  <c r="P64" i="7"/>
  <c r="O64" i="7"/>
  <c r="P54" i="7"/>
  <c r="S5" i="7"/>
  <c r="P71" i="7"/>
  <c r="Q71" i="7" s="1"/>
  <c r="R4" i="7"/>
  <c r="R11" i="7" s="1"/>
  <c r="B69" i="7"/>
  <c r="O69" i="7" s="1"/>
  <c r="E15" i="1"/>
  <c r="F15" i="1" s="1"/>
  <c r="F66" i="1"/>
  <c r="B52" i="7" s="1"/>
  <c r="G95" i="16" s="1"/>
  <c r="S11" i="7" l="1"/>
  <c r="P41" i="16"/>
  <c r="O54" i="7"/>
  <c r="Q54" i="7" s="1"/>
  <c r="G11" i="15"/>
  <c r="O50" i="7"/>
  <c r="Q50" i="7" s="1"/>
  <c r="M110" i="16"/>
  <c r="M111" i="16" s="1"/>
  <c r="G99" i="1"/>
  <c r="F99" i="1"/>
  <c r="G96" i="1"/>
  <c r="H96" i="1" s="1"/>
  <c r="F96" i="1"/>
  <c r="G104" i="1"/>
  <c r="F104" i="1"/>
  <c r="G106" i="1"/>
  <c r="H106" i="1" s="1"/>
  <c r="F106" i="1"/>
  <c r="N96" i="16"/>
  <c r="N95" i="16"/>
  <c r="G97" i="1"/>
  <c r="H97" i="1" s="1"/>
  <c r="F97" i="1"/>
  <c r="G102" i="1"/>
  <c r="F102" i="1"/>
  <c r="M54" i="16"/>
  <c r="M53" i="16"/>
  <c r="M56" i="16"/>
  <c r="H86" i="1"/>
  <c r="H88" i="1"/>
  <c r="G94" i="1"/>
  <c r="F94" i="1"/>
  <c r="H25" i="16" s="1"/>
  <c r="G98" i="1"/>
  <c r="H98" i="1" s="1"/>
  <c r="F98" i="1"/>
  <c r="N53" i="16"/>
  <c r="N54" i="16"/>
  <c r="G87" i="1"/>
  <c r="H87" i="1" s="1"/>
  <c r="F87" i="1"/>
  <c r="N110" i="16"/>
  <c r="N109" i="16"/>
  <c r="G105" i="1"/>
  <c r="H105" i="1" s="1"/>
  <c r="F105" i="1"/>
  <c r="G95" i="1"/>
  <c r="F95" i="1"/>
  <c r="H11" i="16" s="1"/>
  <c r="G101" i="1"/>
  <c r="H101" i="1" s="1"/>
  <c r="F101" i="1"/>
  <c r="M98" i="16"/>
  <c r="M96" i="16"/>
  <c r="M95" i="16"/>
  <c r="Q15" i="7"/>
  <c r="Q70" i="7"/>
  <c r="Q7" i="7"/>
  <c r="Q51" i="7"/>
  <c r="Q6" i="7"/>
  <c r="Q19" i="7"/>
  <c r="Q64" i="7"/>
  <c r="Q18" i="7"/>
  <c r="Q16" i="7"/>
  <c r="S7" i="7"/>
  <c r="R7" i="7"/>
  <c r="O17" i="7"/>
  <c r="Q17" i="7" s="1"/>
  <c r="R6" i="7"/>
  <c r="S6" i="7"/>
  <c r="V26" i="15"/>
  <c r="J11" i="15"/>
  <c r="O52" i="7"/>
  <c r="P52" i="7"/>
  <c r="P69" i="7"/>
  <c r="Q69" i="7" s="1"/>
  <c r="M55" i="16" l="1"/>
  <c r="N12" i="16"/>
  <c r="N11" i="16"/>
  <c r="H102" i="1"/>
  <c r="H104" i="1"/>
  <c r="H95" i="1"/>
  <c r="N111" i="16"/>
  <c r="P111" i="16" s="1"/>
  <c r="N55" i="16"/>
  <c r="H94" i="1"/>
  <c r="N26" i="16"/>
  <c r="N27" i="16" s="1"/>
  <c r="P27" i="16" s="1"/>
  <c r="N97" i="16"/>
  <c r="H99" i="1"/>
  <c r="P55" i="16"/>
  <c r="M97" i="16"/>
  <c r="Q52" i="7"/>
  <c r="P97" i="16" l="1"/>
  <c r="N13" i="16"/>
  <c r="P13" i="16" s="1"/>
</calcChain>
</file>

<file path=xl/comments1.xml><?xml version="1.0" encoding="utf-8"?>
<comments xmlns="http://schemas.openxmlformats.org/spreadsheetml/2006/main">
  <authors>
    <author>dwinters</author>
  </authors>
  <commentList>
    <comment ref="L56" authorId="0">
      <text>
        <r>
          <rPr>
            <b/>
            <sz val="8"/>
            <color indexed="81"/>
            <rFont val="Tahoma"/>
            <family val="2"/>
          </rPr>
          <t>dwinters:</t>
        </r>
        <r>
          <rPr>
            <sz val="8"/>
            <color indexed="81"/>
            <rFont val="Tahoma"/>
            <family val="2"/>
          </rPr>
          <t xml:space="preserve">
use median</t>
        </r>
      </text>
    </comment>
  </commentList>
</comments>
</file>

<file path=xl/comments2.xml><?xml version="1.0" encoding="utf-8"?>
<comments xmlns="http://schemas.openxmlformats.org/spreadsheetml/2006/main">
  <authors>
    <author>dwinters</author>
  </authors>
  <commentList>
    <comment ref="J3" authorId="0">
      <text>
        <r>
          <rPr>
            <b/>
            <sz val="8"/>
            <color indexed="81"/>
            <rFont val="Tahoma"/>
            <family val="2"/>
          </rPr>
          <t>dwinters:</t>
        </r>
        <r>
          <rPr>
            <sz val="8"/>
            <color indexed="81"/>
            <rFont val="Tahoma"/>
            <family val="2"/>
          </rPr>
          <t xml:space="preserve">
high number, but there was a very high flow rate</t>
        </r>
      </text>
    </comment>
  </commentList>
</comments>
</file>

<file path=xl/comments3.xml><?xml version="1.0" encoding="utf-8"?>
<comments xmlns="http://schemas.openxmlformats.org/spreadsheetml/2006/main">
  <authors>
    <author>cob</author>
  </authors>
  <commentList>
    <comment ref="C53" authorId="0">
      <text>
        <r>
          <rPr>
            <b/>
            <sz val="10"/>
            <color indexed="81"/>
            <rFont val="Tahoma"/>
            <family val="2"/>
          </rPr>
          <t>cob:</t>
        </r>
        <r>
          <rPr>
            <sz val="10"/>
            <color indexed="81"/>
            <rFont val="Tahoma"/>
            <family val="2"/>
          </rPr>
          <t xml:space="preserve">
Reported as &lt;28.5
</t>
        </r>
      </text>
    </comment>
  </commentList>
</comments>
</file>

<file path=xl/comments4.xml><?xml version="1.0" encoding="utf-8"?>
<comments xmlns="http://schemas.openxmlformats.org/spreadsheetml/2006/main">
  <authors>
    <author>Jeff Coburn</author>
  </authors>
  <commentList>
    <comment ref="B7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From 2003 test</t>
        </r>
      </text>
    </comment>
    <comment ref="B8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From 2003 test</t>
        </r>
      </text>
    </comment>
    <comment ref="B10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From 2003 Test</t>
        </r>
      </text>
    </comment>
    <comment ref="B21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General note in text that venting occurs when vent is 2 psig or less.</t>
        </r>
      </text>
    </comment>
    <comment ref="C21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General note in text that venting occurs when vent is 2 psig or less.</t>
        </r>
      </text>
    </comment>
    <comment ref="D21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General note in text that venting occurs when vent is 2 psig or less.</t>
        </r>
      </text>
    </comment>
    <comment ref="E21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General note in text that venting occurs when vent is 2 psig or less.</t>
        </r>
      </text>
    </comment>
    <comment ref="F21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General note in text that venting occurs when vent is 2 psig or less.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General note in text that venting occurs when vent is 2 psig or less.</t>
        </r>
      </text>
    </comment>
    <comment ref="B22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Point 1</t>
        </r>
      </text>
    </comment>
    <comment ref="C22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Point 4</t>
        </r>
      </text>
    </comment>
    <comment ref="D22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Point 1</t>
        </r>
      </text>
    </comment>
    <comment ref="E22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Point 4</t>
        </r>
      </text>
    </comment>
    <comment ref="F22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Point 1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Point 4</t>
        </r>
      </text>
    </comment>
  </commentList>
</comments>
</file>

<file path=xl/comments5.xml><?xml version="1.0" encoding="utf-8"?>
<comments xmlns="http://schemas.openxmlformats.org/spreadsheetml/2006/main">
  <authors>
    <author>Jeff Coburn</author>
  </authors>
  <commentList>
    <comment ref="O24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But dd not measure flow for 1st 26 min...</t>
        </r>
      </text>
    </comment>
    <comment ref="B29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Report indicated that stint of low tempearture made the moisture content low, yielding more dry gas volume - potentially not representative.</t>
        </r>
      </text>
    </comment>
    <comment ref="I35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J35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K35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L35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M35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N35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O35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P35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Q35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R35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S35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T35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L41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Reported as 0.000, but looking at data fur butane, appears to be 100 times less = 0.008
</t>
        </r>
      </text>
    </comment>
    <comment ref="I49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J49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K49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L49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M49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N49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O49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P49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Q49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R49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S49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  <comment ref="T49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Monitor dd not appear to be working...</t>
        </r>
      </text>
    </comment>
  </commentList>
</comments>
</file>

<file path=xl/comments6.xml><?xml version="1.0" encoding="utf-8"?>
<comments xmlns="http://schemas.openxmlformats.org/spreadsheetml/2006/main">
  <authors>
    <author>Jeff Coburn</author>
  </authors>
  <commentList>
    <comment ref="K41" authorId="0">
      <text>
        <r>
          <rPr>
            <b/>
            <sz val="10"/>
            <color indexed="81"/>
            <rFont val="Tahoma"/>
            <family val="2"/>
          </rPr>
          <t>Jeff Coburn:</t>
        </r>
        <r>
          <rPr>
            <sz val="10"/>
            <color indexed="81"/>
            <rFont val="Tahoma"/>
            <family val="2"/>
          </rPr>
          <t xml:space="preserve">
Number in table appears to be off be order of magnitude.</t>
        </r>
      </text>
    </comment>
  </commentList>
</comments>
</file>

<file path=xl/sharedStrings.xml><?xml version="1.0" encoding="utf-8"?>
<sst xmlns="http://schemas.openxmlformats.org/spreadsheetml/2006/main" count="3566" uniqueCount="575">
  <si>
    <t>Hovensa, St. Croix, VI</t>
  </si>
  <si>
    <t>Parameter</t>
  </si>
  <si>
    <t>Value</t>
  </si>
  <si>
    <t>Duration of Batch Process (hours)</t>
  </si>
  <si>
    <t xml:space="preserve">Duration of Operating Cycle (hours) </t>
  </si>
  <si>
    <t xml:space="preserve">Batches/Cycles per Day </t>
  </si>
  <si>
    <t xml:space="preserve">Batches/Cycles per Year </t>
  </si>
  <si>
    <t xml:space="preserve">Average Coke Production (tons per batch) </t>
  </si>
  <si>
    <t xml:space="preserve">Average Coke Production (tons per day) </t>
  </si>
  <si>
    <t xml:space="preserve">Average Coke Production (tons per year) </t>
  </si>
  <si>
    <t>DCU Name</t>
  </si>
  <si>
    <t>DCU Vent ID</t>
  </si>
  <si>
    <t>Coke Drum 3</t>
  </si>
  <si>
    <t>Coker Steam Vent 3</t>
  </si>
  <si>
    <t>Run 1</t>
  </si>
  <si>
    <t>Run 2</t>
  </si>
  <si>
    <t>Run 3</t>
  </si>
  <si>
    <t>Run 4</t>
  </si>
  <si>
    <t>Test Date</t>
  </si>
  <si>
    <t>Initial Pressure PI-3960 (psig)</t>
  </si>
  <si>
    <t>Initial Pressure PI-3961 (psig)</t>
  </si>
  <si>
    <t>"Source Test Report of the Coke Steam Vent", URS Report No. 40942073, Sept. 8, 2008</t>
  </si>
  <si>
    <t>6/4 to 6/5/2008</t>
  </si>
  <si>
    <t>Venting Time (minutes)</t>
  </si>
  <si>
    <t>Coke drum production (tons/batch)</t>
  </si>
  <si>
    <t>Coker Feed Rate (1,000 bbl/d)</t>
  </si>
  <si>
    <t>Coke drum Outage</t>
  </si>
  <si>
    <t>DCU height</t>
  </si>
  <si>
    <t>DCU diameter</t>
  </si>
  <si>
    <t>Vent gas flow, wet basis (scf/event)</t>
  </si>
  <si>
    <t>Vent gas flow, dry basis (scf/event)</t>
  </si>
  <si>
    <t>%moisture</t>
  </si>
  <si>
    <t>Method 18</t>
  </si>
  <si>
    <t>Method 5/202</t>
  </si>
  <si>
    <t>SW-846 Method 010</t>
  </si>
  <si>
    <t>Methane (ppm wet) 3</t>
  </si>
  <si>
    <t>Methane (ppm wet) 1</t>
  </si>
  <si>
    <t>Methane (ppm wet) 2</t>
  </si>
  <si>
    <t>Ethane (ppm wet) 1</t>
  </si>
  <si>
    <t>Ethane (ppm wet) 2</t>
  </si>
  <si>
    <t>Ethane (ppm wet) 3</t>
  </si>
  <si>
    <t>Flow (scf wet) 1</t>
  </si>
  <si>
    <t>Flow (scf wet) 2</t>
  </si>
  <si>
    <t>Flow (scf wet) 3</t>
  </si>
  <si>
    <t>Methane/Ethane</t>
  </si>
  <si>
    <t>NMNE VOC (ppm wet as propane) 1</t>
  </si>
  <si>
    <t>NMNE VOC (ppm wet as propane) 2</t>
  </si>
  <si>
    <t>NMNE VOC (ppm wet as propane) 3</t>
  </si>
  <si>
    <t>For pretest, found following HAP concentrations</t>
  </si>
  <si>
    <t>Acetone</t>
  </si>
  <si>
    <t>(ppmv, dry)</t>
  </si>
  <si>
    <t>all in condensate</t>
  </si>
  <si>
    <t>Benzene</t>
  </si>
  <si>
    <t>n-Hexane</t>
  </si>
  <si>
    <t>Toluene</t>
  </si>
  <si>
    <t>Xylene, total</t>
  </si>
  <si>
    <t>Naphthalene</t>
  </si>
  <si>
    <t>1,2,4-Trimethylbenzene</t>
  </si>
  <si>
    <t>mostly in condensate</t>
  </si>
  <si>
    <t>98% moisture</t>
  </si>
  <si>
    <t>Conc. Wet @</t>
  </si>
  <si>
    <t>During tests, the reported BDL for wet</t>
  </si>
  <si>
    <t>&lt;25</t>
  </si>
  <si>
    <t>ppm wet</t>
  </si>
  <si>
    <t>&lt;28, except for run 2</t>
  </si>
  <si>
    <t>Toluene (ppm wet) 1</t>
  </si>
  <si>
    <t>Toluene (ppm wet) 2</t>
  </si>
  <si>
    <t>Toluene (ppm wet) 3</t>
  </si>
  <si>
    <t>Semivolaile Analysis</t>
  </si>
  <si>
    <t>Compound</t>
  </si>
  <si>
    <t>Emission rate (lbs/event)</t>
  </si>
  <si>
    <t>Acenaphthene</t>
  </si>
  <si>
    <t>2,4-Dimethylphenol</t>
  </si>
  <si>
    <t>Aniline</t>
  </si>
  <si>
    <t>Anthracene</t>
  </si>
  <si>
    <t>Fluoranthene</t>
  </si>
  <si>
    <t>Fluorene</t>
  </si>
  <si>
    <t>Indeno(1,2,3-cd)pyrene</t>
  </si>
  <si>
    <t>2-Methylnaphthalene</t>
  </si>
  <si>
    <t>2-Methylphenol</t>
  </si>
  <si>
    <t>1-Naphthylamine</t>
  </si>
  <si>
    <t>2-Naphthylamine</t>
  </si>
  <si>
    <t>Benzo(a)anthracene</t>
  </si>
  <si>
    <t>Benzo(b)fluoranthene</t>
  </si>
  <si>
    <t>Benzo(k)fluoranthene</t>
  </si>
  <si>
    <t>Benzo(ghi)perylene</t>
  </si>
  <si>
    <t>Benzo(a)pyrene</t>
  </si>
  <si>
    <t>Phenanthrene</t>
  </si>
  <si>
    <t>Phenol</t>
  </si>
  <si>
    <t>2-Picoline</t>
  </si>
  <si>
    <t>Pyrene</t>
  </si>
  <si>
    <t>Pyridine</t>
  </si>
  <si>
    <t>Carbazole</t>
  </si>
  <si>
    <t>Acenaphthylene</t>
  </si>
  <si>
    <t>Chrysene</t>
  </si>
  <si>
    <t>Dibenz(a,h)anthracene</t>
  </si>
  <si>
    <t>Dibenzofuran</t>
  </si>
  <si>
    <t>3- &amp; 4-Methylphenol</t>
  </si>
  <si>
    <t>VOHAP</t>
  </si>
  <si>
    <t>Di-n-butly phthalate</t>
  </si>
  <si>
    <t>Diethyl phthalate</t>
  </si>
  <si>
    <t>bis(2-Ethylhexyl) phthalate</t>
  </si>
  <si>
    <t>3-Methylcholanthrene</t>
  </si>
  <si>
    <t>PM Source Test Data</t>
  </si>
  <si>
    <t>PM (front &amp; back half)</t>
  </si>
  <si>
    <t>Fraction filterable 1</t>
  </si>
  <si>
    <t>Fraction filterable 2</t>
  </si>
  <si>
    <t>Fraction filterable 3</t>
  </si>
  <si>
    <t>Torrance, California</t>
  </si>
  <si>
    <t>Exxon Mobil -Torrance Refinery</t>
  </si>
  <si>
    <t>Volatile Organic Compound (VOC), Speciated Hydrocarbons, Aromatic Hydrocarbons, Carbon Monoxide (CO), and Particulate Matter (PM) Emissions From A Coke Drum Steam Vent</t>
  </si>
  <si>
    <t>SCAQMD Test No: 03-198</t>
  </si>
  <si>
    <t>Initial Pressure (psig)</t>
  </si>
  <si>
    <t>DCU height (ft)</t>
  </si>
  <si>
    <t>DCU diameter (ft</t>
  </si>
  <si>
    <t>Coke drum Outage (ft)</t>
  </si>
  <si>
    <t>noted that venting cycle usually lasted 2 to 3 times longer</t>
  </si>
  <si>
    <t>Tank 891 &amp; 892</t>
  </si>
  <si>
    <t>Tank 891 &amp; 893</t>
  </si>
  <si>
    <t>Tank 891</t>
  </si>
  <si>
    <t>Tank 892</t>
  </si>
  <si>
    <t>Source Test Report of the Coker Steam Vent for Non-Methane and Non-Ethane Volatile Organic Compounds</t>
  </si>
  <si>
    <t>CITGO Refining and Chemicals Company LP - West Plant Refinery</t>
  </si>
  <si>
    <t>% moisture</t>
  </si>
  <si>
    <t>Methane Conc ppm, wet</t>
  </si>
  <si>
    <t>Methane Conc ppm, dry</t>
  </si>
  <si>
    <t>Ethane Conc ppm, wet</t>
  </si>
  <si>
    <t>Ethane Conc ppm, dry</t>
  </si>
  <si>
    <t>NMNE VOC Conc ppm, wet</t>
  </si>
  <si>
    <t>NMNE VOC Conc ppm, dry</t>
  </si>
  <si>
    <t>Interval 1</t>
  </si>
  <si>
    <t>Interval 2</t>
  </si>
  <si>
    <t>Interval 3</t>
  </si>
  <si>
    <t>lb/min</t>
  </si>
  <si>
    <t>lb/interval</t>
  </si>
  <si>
    <t>min/interval</t>
  </si>
  <si>
    <t>NMNE VOC Emiss, lb/cycle</t>
  </si>
  <si>
    <t>Est methane Emiss, lb/cycle</t>
  </si>
  <si>
    <t>Est ethane Emiss, lb/cycle</t>
  </si>
  <si>
    <t>Corpus Christi, Texas</t>
  </si>
  <si>
    <t>Pollutant</t>
  </si>
  <si>
    <t>Solid (filterable) PM</t>
  </si>
  <si>
    <t>Condensable PM</t>
  </si>
  <si>
    <t>Emissions per blow down event (lbs/event)</t>
  </si>
  <si>
    <t>NMNE VOC</t>
  </si>
  <si>
    <t>Methane</t>
  </si>
  <si>
    <t>Ethane</t>
  </si>
  <si>
    <t>Ethyl benzene</t>
  </si>
  <si>
    <t>Xylenes</t>
  </si>
  <si>
    <t>Conc. (ppm, dry)</t>
  </si>
  <si>
    <t>Chevron / Texaco -El Segundo Refinery</t>
  </si>
  <si>
    <t>El Segundo, California</t>
  </si>
  <si>
    <t>SCAQMD Test No: 03-194</t>
  </si>
  <si>
    <t>lb/hr</t>
  </si>
  <si>
    <t>ConocoPhillips -Carson Refinery</t>
  </si>
  <si>
    <t>Carson, California</t>
  </si>
  <si>
    <t>SCAQMD Test No: 03-197</t>
  </si>
  <si>
    <t>Tested:</t>
  </si>
  <si>
    <t>Coker Feed Rate (lb/hr)</t>
  </si>
  <si>
    <t>NMNE VOC ( as C)</t>
  </si>
  <si>
    <t>Coker Feed Rate (1,000 bbl/day)</t>
  </si>
  <si>
    <t>Not reported.  Did not meet minimum sample volume.</t>
  </si>
  <si>
    <t>&lt;0.1</t>
  </si>
  <si>
    <t>SCAQMD Test No: 03-200</t>
  </si>
  <si>
    <t>Tank 119 &amp; 120</t>
  </si>
  <si>
    <t>ft3</t>
  </si>
  <si>
    <t>NM/NE VOC</t>
  </si>
  <si>
    <t>Xylene</t>
  </si>
  <si>
    <t>PAHs</t>
  </si>
  <si>
    <t>Hovensa</t>
  </si>
  <si>
    <t>Shell</t>
  </si>
  <si>
    <t>ConocoPh</t>
  </si>
  <si>
    <t>Chevron</t>
  </si>
  <si>
    <t>ExxonMobil</t>
  </si>
  <si>
    <t>CITGO</t>
  </si>
  <si>
    <t>Sum</t>
  </si>
  <si>
    <t>Volatile Analysis</t>
  </si>
  <si>
    <t>sum flow</t>
  </si>
  <si>
    <t>MolWt</t>
  </si>
  <si>
    <t>Other PAH</t>
  </si>
  <si>
    <t>Conc. (ppm,wet)</t>
  </si>
  <si>
    <t>Emissions per Cycle (lb/event)</t>
  </si>
  <si>
    <t>Ave</t>
  </si>
  <si>
    <t>Filterable PM</t>
  </si>
  <si>
    <t>PM (total)</t>
  </si>
  <si>
    <t>Aver. Filterable</t>
  </si>
  <si>
    <t>Average</t>
  </si>
  <si>
    <t>Averages</t>
  </si>
  <si>
    <t>StDev</t>
  </si>
  <si>
    <t>Methylphenol</t>
  </si>
  <si>
    <t>Vent Gas flow rate (scfm, wet)</t>
  </si>
  <si>
    <t>Vent Gas flow rate (dscfm)</t>
  </si>
  <si>
    <t>Vent cycle time (min)</t>
  </si>
  <si>
    <t>NM/NE VOC (as propane)</t>
  </si>
  <si>
    <t>NMNE VOC (as C)</t>
  </si>
  <si>
    <t>Ethane (as C)</t>
  </si>
  <si>
    <t>Estimated benzene (ppm wet) 1</t>
  </si>
  <si>
    <t>Estimated benzene (ppm wet) 2</t>
  </si>
  <si>
    <t>Estimated benzene (ppm wet) 3</t>
  </si>
  <si>
    <t>All highlighted values are the detection limit</t>
  </si>
  <si>
    <t>Estimated benzene (less than these values)</t>
  </si>
  <si>
    <t>Garyville</t>
  </si>
  <si>
    <t>lb/cycle</t>
  </si>
  <si>
    <t>BP Husky</t>
  </si>
  <si>
    <t>lbs/cycle</t>
  </si>
  <si>
    <t>(wet)</t>
  </si>
  <si>
    <t>V501A</t>
  </si>
  <si>
    <t>V501B</t>
  </si>
  <si>
    <t>V501C</t>
  </si>
  <si>
    <t>V501D</t>
  </si>
  <si>
    <t>V501E</t>
  </si>
  <si>
    <t>V501F</t>
  </si>
  <si>
    <t>Coke Level in Drum (appears to be outage)</t>
  </si>
  <si>
    <t>Venting (Run) Time (minutes)</t>
  </si>
  <si>
    <t>Temperature stack (degF)</t>
  </si>
  <si>
    <t>Conc. (ppmv, dry)</t>
  </si>
  <si>
    <t>H2S</t>
  </si>
  <si>
    <t>Emissions (lbs/hr)</t>
  </si>
  <si>
    <t>Total PM</t>
  </si>
  <si>
    <t>Marathon -Garyville Refinery</t>
  </si>
  <si>
    <t>Run #</t>
  </si>
  <si>
    <t>Test Condition #</t>
  </si>
  <si>
    <t>Coker Feed Rate (bbl/batch)</t>
  </si>
  <si>
    <t>Operating Cycle Time (hrs)</t>
  </si>
  <si>
    <t>Run 5</t>
  </si>
  <si>
    <t>Run 6</t>
  </si>
  <si>
    <t>Run 7</t>
  </si>
  <si>
    <t>Run 8</t>
  </si>
  <si>
    <t>Run 9</t>
  </si>
  <si>
    <t>Run 10</t>
  </si>
  <si>
    <t>Run 11</t>
  </si>
  <si>
    <t>Run 12</t>
  </si>
  <si>
    <t>Run 13</t>
  </si>
  <si>
    <t>Run 14</t>
  </si>
  <si>
    <t>Run 15</t>
  </si>
  <si>
    <t>H2S Scav</t>
  </si>
  <si>
    <t xml:space="preserve">Shor </t>
  </si>
  <si>
    <t>DrainDelay</t>
  </si>
  <si>
    <t>Invalid</t>
  </si>
  <si>
    <t>Conc. (ppmv, wet)</t>
  </si>
  <si>
    <t>Total vent volume (scf)</t>
  </si>
  <si>
    <t>Run 16</t>
  </si>
  <si>
    <t>Run 21</t>
  </si>
  <si>
    <t>Run 22</t>
  </si>
  <si>
    <t>Run 23</t>
  </si>
  <si>
    <t>Run 24</t>
  </si>
  <si>
    <t>Run 25</t>
  </si>
  <si>
    <t>BDL</t>
  </si>
  <si>
    <t xml:space="preserve">Ethane </t>
  </si>
  <si>
    <t>NMNE VOC (as propane)</t>
  </si>
  <si>
    <t>SVOC</t>
  </si>
  <si>
    <t>SVOC (mostly naphthalene &amp; 2-methylnaphthalene)</t>
  </si>
  <si>
    <t>No test</t>
  </si>
  <si>
    <t>Run 17</t>
  </si>
  <si>
    <t>Run 18</t>
  </si>
  <si>
    <t>Run 19</t>
  </si>
  <si>
    <t xml:space="preserve">    &lt;---------  No top water quench  ---------&gt;</t>
  </si>
  <si>
    <t>Averages for vessel pressure:</t>
  </si>
  <si>
    <t>&gt;=2.89</t>
  </si>
  <si>
    <t>&gt;2 but&lt;2.89</t>
  </si>
  <si>
    <t>&lt;2</t>
  </si>
  <si>
    <t>Averages for vessel temperature:</t>
  </si>
  <si>
    <t>&lt;240</t>
  </si>
  <si>
    <t>240 to 270</t>
  </si>
  <si>
    <t>&gt;270</t>
  </si>
  <si>
    <t>Ave Temp</t>
  </si>
  <si>
    <t>Ave. Press</t>
  </si>
  <si>
    <t>Conc. (grams/scf, wet)</t>
  </si>
  <si>
    <t>Conc. (grams/dscf)</t>
  </si>
  <si>
    <t>grams/dscf</t>
  </si>
  <si>
    <t>ppmv, dry</t>
  </si>
  <si>
    <t>Houston Refining</t>
  </si>
  <si>
    <t>Houston, Texas</t>
  </si>
  <si>
    <t>THC (M25A as propane)</t>
  </si>
  <si>
    <t>THC (M18)</t>
  </si>
  <si>
    <t>Ethylene</t>
  </si>
  <si>
    <t>1,3-Butadiene</t>
  </si>
  <si>
    <t>Flow (acfm)</t>
  </si>
  <si>
    <t>Flow (dscfm)</t>
  </si>
  <si>
    <t>A/B Vent</t>
  </si>
  <si>
    <t>C/D Vent</t>
  </si>
  <si>
    <t>A</t>
  </si>
  <si>
    <t>B</t>
  </si>
  <si>
    <t>C</t>
  </si>
  <si>
    <t>D</t>
  </si>
  <si>
    <t>Ave Temperature stack (degF)</t>
  </si>
  <si>
    <t>Max Temperature stack (degF)</t>
  </si>
  <si>
    <t>ave 737D</t>
  </si>
  <si>
    <t>ave_all</t>
  </si>
  <si>
    <t>Vent Time (min)</t>
  </si>
  <si>
    <t>Biphenyl</t>
  </si>
  <si>
    <t>Did not inlclude due to short run</t>
  </si>
  <si>
    <t xml:space="preserve">Multi-Metals </t>
  </si>
  <si>
    <t>Antimony</t>
  </si>
  <si>
    <t>Arsenic</t>
  </si>
  <si>
    <t>Beryllium</t>
  </si>
  <si>
    <t>Cadmium</t>
  </si>
  <si>
    <t>Chromium</t>
  </si>
  <si>
    <t>Lead</t>
  </si>
  <si>
    <t>Manganese</t>
  </si>
  <si>
    <t>Nickel</t>
  </si>
  <si>
    <t>Selenium</t>
  </si>
  <si>
    <t>Cobalt</t>
  </si>
  <si>
    <t>Mercury</t>
  </si>
  <si>
    <t>Hg-particulate</t>
  </si>
  <si>
    <t>Hg-oxidized</t>
  </si>
  <si>
    <t>Hg-elemental</t>
  </si>
  <si>
    <t>Fow (dscfm)</t>
  </si>
  <si>
    <t>Hg-total</t>
  </si>
  <si>
    <t>all BDL</t>
  </si>
  <si>
    <t>DLL (only Run 1 is above detection)</t>
  </si>
  <si>
    <t>DLL (only Run 1 is above detection and only for Hg-oxid)</t>
  </si>
  <si>
    <t>Total VOC (as propane - not sure if NMNE)</t>
  </si>
  <si>
    <t>Oregon, OH</t>
  </si>
  <si>
    <t>THC (as propane)</t>
  </si>
  <si>
    <t>Total VOC (NMNE as propane)</t>
  </si>
  <si>
    <t>Total Flow (dscf)</t>
  </si>
  <si>
    <t>THC</t>
  </si>
  <si>
    <t>PM-CON organic</t>
  </si>
  <si>
    <t>PM-CON inorganic</t>
  </si>
  <si>
    <t xml:space="preserve">Mercury </t>
  </si>
  <si>
    <t>Semivolatiles</t>
  </si>
  <si>
    <t>Total POM</t>
  </si>
  <si>
    <t>ug/dscm</t>
  </si>
  <si>
    <t>Cresols (total</t>
  </si>
  <si>
    <t>Benzo(e)pyrene</t>
  </si>
  <si>
    <t>o-Toluidine</t>
  </si>
  <si>
    <t>M29 - Metals Source Test</t>
  </si>
  <si>
    <t>DDL</t>
  </si>
  <si>
    <t>ExxonMobil Baytown Refining</t>
  </si>
  <si>
    <t>Baytown, Texas</t>
  </si>
  <si>
    <t>D-603</t>
  </si>
  <si>
    <t>Hexane</t>
  </si>
  <si>
    <t>Pentane</t>
  </si>
  <si>
    <t>CS2</t>
  </si>
  <si>
    <t>1,2-dibromoethane</t>
  </si>
  <si>
    <t>"Bag Sampling"</t>
  </si>
  <si>
    <t>"Tube Sampling"</t>
  </si>
  <si>
    <t>Cumene</t>
  </si>
  <si>
    <t>Ethylbenzene</t>
  </si>
  <si>
    <t>MTBE</t>
  </si>
  <si>
    <t>Nitrobenzene</t>
  </si>
  <si>
    <t>Styrene</t>
  </si>
  <si>
    <t>Xylene (total)</t>
  </si>
  <si>
    <t>Conc. (ug/dscm)</t>
  </si>
  <si>
    <t>Acetonitrile</t>
  </si>
  <si>
    <t>&lt;1692</t>
  </si>
  <si>
    <t>&lt;7314</t>
  </si>
  <si>
    <t>&lt;2608</t>
  </si>
  <si>
    <t>&lt;2718</t>
  </si>
  <si>
    <t>&lt;0.00423</t>
  </si>
  <si>
    <t>&lt;0.0115</t>
  </si>
  <si>
    <t>Aldehyde results</t>
  </si>
  <si>
    <t>Formaldehyde</t>
  </si>
  <si>
    <t>Acetaldehyde</t>
  </si>
  <si>
    <t>Propionaldehyde</t>
  </si>
  <si>
    <t>DLL</t>
  </si>
  <si>
    <t>Indicates BDL</t>
  </si>
  <si>
    <t>not reported</t>
  </si>
  <si>
    <t>Inorganic Condensable PM</t>
  </si>
  <si>
    <t>Organic Condensable PM</t>
  </si>
  <si>
    <t>Total Condensable PM</t>
  </si>
  <si>
    <t>Calculated from concentration data:</t>
  </si>
  <si>
    <t>Calculated from THC, methane, and ethane data</t>
  </si>
  <si>
    <t>Bottom</t>
  </si>
  <si>
    <t>Top</t>
  </si>
  <si>
    <t>Total</t>
  </si>
  <si>
    <t>Table 3.</t>
  </si>
  <si>
    <t>Houston Refining LP - Delayed Coker Air Emissions Study.  Feb. 2011 to Jan. 2012.</t>
  </si>
  <si>
    <t>Average VOC Emission Rates Method 1</t>
  </si>
  <si>
    <t>differs from the "12-month" value in the report</t>
  </si>
  <si>
    <t>(lb/hr)</t>
  </si>
  <si>
    <t>Table 4.</t>
  </si>
  <si>
    <t>Average VOC Emission Rates Method 2</t>
  </si>
  <si>
    <t>The study focused on DCU-737</t>
  </si>
  <si>
    <t>Ave DCU 737</t>
  </si>
  <si>
    <t>From Houston1, DCU 737 emissions averaged:</t>
  </si>
  <si>
    <t>(lb/cycle)</t>
  </si>
  <si>
    <t>events/year</t>
  </si>
  <si>
    <t>hour/yr</t>
  </si>
  <si>
    <t>Average Emissions (lb/hr)</t>
  </si>
  <si>
    <t>Fraction vent/total</t>
  </si>
  <si>
    <t>Method 1</t>
  </si>
  <si>
    <t>Method 2</t>
  </si>
  <si>
    <t>Need to know if their "VOC emissions" includes ethane</t>
  </si>
  <si>
    <t>According to the report, they speciated 18 compounds, incuding BTX, naphthalene, and 1,3-butadiene (and ethane)</t>
  </si>
  <si>
    <t xml:space="preserve">They do not report the emissions of specific comounds.  Referred to the sum of compounds as total hydrocarbons. </t>
  </si>
  <si>
    <t>NM VOC</t>
  </si>
  <si>
    <t>If the VOC value in the report does not include ethane, vent emissions are &lt;10% of total VOC emissions from DCU</t>
  </si>
  <si>
    <r>
      <t>Emission rate (10</t>
    </r>
    <r>
      <rPr>
        <vertAlign val="superscript"/>
        <sz val="10"/>
        <rFont val="Arial"/>
        <family val="2"/>
      </rPr>
      <t>-3</t>
    </r>
    <r>
      <rPr>
        <sz val="10"/>
        <rFont val="Arial"/>
        <family val="2"/>
      </rPr>
      <t xml:space="preserve"> lbs/event)</t>
    </r>
  </si>
  <si>
    <t>Flow (dcfh)</t>
  </si>
  <si>
    <t>mg/dscf</t>
  </si>
  <si>
    <t>gr/dscf</t>
  </si>
  <si>
    <t>Total PM (mg)</t>
  </si>
  <si>
    <t>Vol (dscf)</t>
  </si>
  <si>
    <t>ave</t>
  </si>
  <si>
    <t>Run Ave</t>
  </si>
  <si>
    <t>Semivolatile Analysis</t>
  </si>
  <si>
    <t>Marathon</t>
  </si>
  <si>
    <t>Houston1</t>
  </si>
  <si>
    <t>Houston2</t>
  </si>
  <si>
    <t>Houston_FTIR</t>
  </si>
  <si>
    <t>ExM Baytown</t>
  </si>
  <si>
    <t>average</t>
  </si>
  <si>
    <t>EF (lb/cycle)</t>
  </si>
  <si>
    <t>Avg</t>
  </si>
  <si>
    <t>StD</t>
  </si>
  <si>
    <t>n/a</t>
  </si>
  <si>
    <t>Vent Composition (ppm) wet</t>
  </si>
  <si>
    <t>Vent Composition (ppm) dry</t>
  </si>
  <si>
    <t>Averages over all runs</t>
  </si>
  <si>
    <t>ppmv, wet</t>
  </si>
  <si>
    <t>Based on Component 1 data, 4 drums cycling every 28.5 hours:</t>
  </si>
  <si>
    <t>Dry</t>
  </si>
  <si>
    <t>lbs/event</t>
  </si>
  <si>
    <t xml:space="preserve">PAHs </t>
  </si>
  <si>
    <t>Facility Name</t>
  </si>
  <si>
    <t>Facility ID</t>
  </si>
  <si>
    <t>VI6A1530</t>
  </si>
  <si>
    <t>CA5A0260</t>
  </si>
  <si>
    <t>CA5A0130</t>
  </si>
  <si>
    <t>CA5A0190</t>
  </si>
  <si>
    <t>TX3B1131</t>
  </si>
  <si>
    <t>OH2A0910</t>
  </si>
  <si>
    <t>TX3B1160</t>
  </si>
  <si>
    <t>TX3B1200</t>
  </si>
  <si>
    <t>LA3C0610</t>
  </si>
  <si>
    <t>Component 2 Reported (tpy)</t>
  </si>
  <si>
    <t>Projected Benzene</t>
  </si>
  <si>
    <t>Projected toluene</t>
  </si>
  <si>
    <t>Projected ethylbenzene</t>
  </si>
  <si>
    <t>Projected xylene</t>
  </si>
  <si>
    <t>Projected NMNE VOC</t>
  </si>
  <si>
    <t>process_unit_id</t>
  </si>
  <si>
    <t>feed_capacity</t>
  </si>
  <si>
    <t>coke_production_capacity</t>
  </si>
  <si>
    <t>coke_type_id</t>
  </si>
  <si>
    <t>coke_desc</t>
  </si>
  <si>
    <t>number_coke_drums</t>
  </si>
  <si>
    <t>water_quenching_cycle_type_id</t>
  </si>
  <si>
    <t>water_quenching_cycle_desc</t>
  </si>
  <si>
    <t>typical_quench_water_flow_rate_during_quenching_cycle</t>
  </si>
  <si>
    <t>average_quench_water_make_up_rate</t>
  </si>
  <si>
    <t>blowdown_system_condensed_water_disposition_type_id</t>
  </si>
  <si>
    <t>blowdown_system_condensed_water_disposition_desc</t>
  </si>
  <si>
    <t>blowdown_system_condensed_uncondensed_vapor_disposition_type_id</t>
  </si>
  <si>
    <t>blowdown_system_condensed_uncondensed_vapor_disposition_desc</t>
  </si>
  <si>
    <t>quench_water_disposition_type_id</t>
  </si>
  <si>
    <t>quench_water_disposition_desc</t>
  </si>
  <si>
    <t>cutting_water_source_type_id</t>
  </si>
  <si>
    <t>cutting_water_source_desc</t>
  </si>
  <si>
    <t>cutting_water_handling_type_id</t>
  </si>
  <si>
    <t>cutting_water_handling_desc</t>
  </si>
  <si>
    <t>Delayed Coker</t>
  </si>
  <si>
    <t>Shot coke, fuel grade</t>
  </si>
  <si>
    <t>Use recycled cutting water with “tap” water make-up and 5 Use treated water from sour water stripper</t>
  </si>
  <si>
    <t>Sent to sour water stripper</t>
  </si>
  <si>
    <t>Not applicable; uncondensed vapors are always sent to DCU fractionator</t>
  </si>
  <si>
    <t>Recycled to unit and used as quench water
5 Used as coke cutting water
6 Used as general process water
99 Other (steam/air decoking)</t>
  </si>
  <si>
    <t>Use recycled cutting water with “tap” water make-up
5 Use treated water from sour water stripper</t>
  </si>
  <si>
    <t>Uncovered gravity settling pond</t>
  </si>
  <si>
    <t>Coker</t>
  </si>
  <si>
    <t/>
  </si>
  <si>
    <t>Use recycled cutting water with "tap" water make-up / Use recycled cutting water with process or blowdown water make-up</t>
  </si>
  <si>
    <t>Recycled to unit and used as quench water / Used as coke cutting water</t>
  </si>
  <si>
    <t>P2-COKER</t>
  </si>
  <si>
    <t>521-FUG</t>
  </si>
  <si>
    <t>Use recycled cutting water with “tap” water make-up</t>
  </si>
  <si>
    <t>Recycled to unit and used as quench water</t>
  </si>
  <si>
    <t>Unit 005, Unit 205</t>
  </si>
  <si>
    <t>U21-Ncoker, U22-Scoker</t>
  </si>
  <si>
    <t>736-UNIT</t>
  </si>
  <si>
    <t>F</t>
  </si>
  <si>
    <t>Z</t>
  </si>
  <si>
    <t>Uncovered tank</t>
  </si>
  <si>
    <t>Sponge Coke, Anode Grade; Sponge Coke, Fuel Grade</t>
  </si>
  <si>
    <t>Coker 2, Coker 3</t>
  </si>
  <si>
    <t>DCU</t>
  </si>
  <si>
    <t>Gray cells from DCU_predictions_data_comparisons.xlsm by Andrew Katz</t>
  </si>
  <si>
    <t>Projected Naphthalene</t>
  </si>
  <si>
    <t>Projected 2-methylnaphthalene</t>
  </si>
  <si>
    <t>Reported Naphthalene</t>
  </si>
  <si>
    <t>Reported Benzene</t>
  </si>
  <si>
    <t>Reported toluene</t>
  </si>
  <si>
    <t>Reported ethylbenzene</t>
  </si>
  <si>
    <t>Reported xylene</t>
  </si>
  <si>
    <t>Reported NMNE VOC</t>
  </si>
  <si>
    <t>Reported 2-methylnaphthalene</t>
  </si>
  <si>
    <t>All graphs have reported</t>
  </si>
  <si>
    <t>on the x-axis, projected</t>
  </si>
  <si>
    <t>on the y-axis.</t>
  </si>
  <si>
    <t>(dry)</t>
  </si>
  <si>
    <t>CA5A0160</t>
  </si>
  <si>
    <t>Gas Conc (2-run average from report)</t>
  </si>
  <si>
    <t>Steam Production (scf)</t>
  </si>
  <si>
    <t>Pounds Steam (lb)</t>
  </si>
  <si>
    <t>Emission lbs per lb steam</t>
  </si>
  <si>
    <t>Emission Normalization by Steam Production</t>
  </si>
  <si>
    <t>2-methylnaphthalene</t>
  </si>
  <si>
    <t>VOC</t>
  </si>
  <si>
    <t>Process Unit ID</t>
  </si>
  <si>
    <t>lbs emissions per lb steam</t>
  </si>
  <si>
    <t>Component 4 Test Data (lb/cycle)</t>
  </si>
  <si>
    <t>Projected - ICR EmF (tpy)</t>
  </si>
  <si>
    <t>From DCU_predictions_data_comparisons.xlsm by Andrew Katz</t>
  </si>
  <si>
    <t>From the Summary sheet of this workbook</t>
  </si>
  <si>
    <t>From the average of all runs for each of the facility sheets in this workbook</t>
  </si>
  <si>
    <t>Flow (scfm)</t>
  </si>
  <si>
    <t>Steam Flow (scfm)</t>
  </si>
  <si>
    <t>Total quantity of gas vented (scf, wet)</t>
  </si>
  <si>
    <t>Total quantity of gas vented (dscf)</t>
  </si>
  <si>
    <t>Total Vent Flow Over Run (scf)</t>
  </si>
  <si>
    <t>Particulate Matter (PM), Volatile Organic Compounds (VOC), Speciated Hydrocarbons, Aromatic Hydrocarbons, and Sulfur Compounds Emissions from a Coke Drum During the Steaming and Venting to Atmosphere Phases</t>
  </si>
  <si>
    <t>SCAQMD Test No: 06-250</t>
  </si>
  <si>
    <t>7/12/2006, 7/27/2006</t>
  </si>
  <si>
    <t>Valero (Ultramar) Refinery</t>
  </si>
  <si>
    <t>SCAQMD Test No: 06-249</t>
  </si>
  <si>
    <t>Petroleum Coke Drum No. V-300-B</t>
  </si>
  <si>
    <t>Wilmington, CA</t>
  </si>
  <si>
    <t>BP/ARCO Refinery</t>
  </si>
  <si>
    <t>Cason, CA</t>
  </si>
  <si>
    <t>Particulate Matter (PM), Volatile Organic Compound (VOC), Speciated Hydrocarbons, Aromatic Hydrocarbons, and Sulfur Compounds Emissions from a Coke Drum Steam Vent</t>
  </si>
  <si>
    <t>8/2/2006, 8/8/2006</t>
  </si>
  <si>
    <t>DCU diameter (ft)</t>
  </si>
  <si>
    <t>Total Minutes</t>
  </si>
  <si>
    <t>Minutes</t>
  </si>
  <si>
    <t>Flow Rates (dscfm)</t>
  </si>
  <si>
    <t>dscf</t>
  </si>
  <si>
    <t>Steam Flow (scf)</t>
  </si>
  <si>
    <t>Drum 1</t>
  </si>
  <si>
    <t>Drum 2</t>
  </si>
  <si>
    <t>Blowdown</t>
  </si>
  <si>
    <t>RSD</t>
  </si>
  <si>
    <t>lb/lb steam less variable than lb/cycle</t>
  </si>
  <si>
    <t>C10H8</t>
  </si>
  <si>
    <t>128.1705 g/mol</t>
  </si>
  <si>
    <t>C11H10</t>
  </si>
  <si>
    <t>142.2.g/mol</t>
  </si>
  <si>
    <t>C6H6</t>
  </si>
  <si>
    <t>78.11 g/mol</t>
  </si>
  <si>
    <t>92.14 g/mol</t>
  </si>
  <si>
    <t>C7H8</t>
  </si>
  <si>
    <t>C8H10</t>
  </si>
  <si>
    <t>106.17 g/mol</t>
  </si>
  <si>
    <t>106.16 g/mol</t>
  </si>
  <si>
    <t>CH4</t>
  </si>
  <si>
    <t>16.04 g/mol</t>
  </si>
  <si>
    <t>Median</t>
  </si>
  <si>
    <t>Multi-Metals  (lb/event)</t>
  </si>
  <si>
    <t>lbs steam</t>
  </si>
  <si>
    <t>lbs/lb steam</t>
  </si>
  <si>
    <t>lb/event</t>
  </si>
  <si>
    <t>Drum 737</t>
  </si>
  <si>
    <t>Drum 736</t>
  </si>
  <si>
    <t>Ave DCU 736</t>
  </si>
  <si>
    <t>Houston 1</t>
  </si>
  <si>
    <t>Houston 1&amp;2</t>
  </si>
  <si>
    <t>Low moisture content; run not representative</t>
  </si>
  <si>
    <t>%moisture (assumed)</t>
  </si>
  <si>
    <t>%moisture (reported)</t>
  </si>
  <si>
    <t>=Summary!F$50</t>
  </si>
  <si>
    <t>=Summary!J$50</t>
  </si>
  <si>
    <t>=Summary!F$52</t>
  </si>
  <si>
    <t>=Summary!J$52</t>
  </si>
  <si>
    <t>=Summary!F$56</t>
  </si>
  <si>
    <t>=Summary!F$55</t>
  </si>
  <si>
    <t>=Summary!F$54</t>
  </si>
  <si>
    <t>=Summary!J$53</t>
  </si>
  <si>
    <t>=Summary!F$53</t>
  </si>
  <si>
    <t>=Summary!J$59</t>
  </si>
  <si>
    <t>=Summary!J$60</t>
  </si>
  <si>
    <t>C2H6</t>
  </si>
  <si>
    <t>30.07 g/mol</t>
  </si>
  <si>
    <t>=Summary!F$51</t>
  </si>
  <si>
    <t>=Summary!J$51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</si>
</sst>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0"/>
    <numFmt numFmtId="166" formatCode="0.000"/>
    <numFmt numFmtId="167" formatCode="0.0%"/>
    <numFmt numFmtId="168" formatCode="0.00000000"/>
    <numFmt numFmtId="169" formatCode="0.000E+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b/>
      <sz val="16"/>
      <name val="Arial-BoldMT"/>
    </font>
    <font>
      <b/>
      <sz val="12"/>
      <name val="Arial-BoldMT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sz val="10"/>
      <color theme="0"/>
      <name val="Arial"/>
      <family val="2"/>
    </font>
    <font>
      <vertAlign val="superscript"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FF0000"/>
      <name val="Calibri"/>
      <family val="2"/>
    </font>
    <font>
      <sz val="8"/>
      <color indexed="8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6" tint="0.59996337778862885"/>
        <bgColor indexed="0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4" fillId="0" borderId="0"/>
  </cellStyleXfs>
  <cellXfs count="133">
    <xf numFmtId="0" fontId="0" fillId="0" borderId="0" xfId="0"/>
    <xf numFmtId="14" fontId="0" fillId="0" borderId="0" xfId="0" applyNumberFormat="1"/>
    <xf numFmtId="0" fontId="0" fillId="0" borderId="1" xfId="0" applyBorder="1"/>
    <xf numFmtId="0" fontId="3" fillId="0" borderId="0" xfId="0" applyFont="1"/>
    <xf numFmtId="11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15" fontId="0" fillId="0" borderId="0" xfId="0" applyNumberFormat="1"/>
    <xf numFmtId="1" fontId="0" fillId="0" borderId="0" xfId="0" applyNumberFormat="1"/>
    <xf numFmtId="11" fontId="0" fillId="2" borderId="0" xfId="0" applyNumberFormat="1" applyFill="1"/>
    <xf numFmtId="11" fontId="0" fillId="0" borderId="0" xfId="0" applyNumberFormat="1" applyFill="1"/>
    <xf numFmtId="0" fontId="0" fillId="0" borderId="0" xfId="0" applyFill="1" applyBorder="1"/>
    <xf numFmtId="166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10" fontId="0" fillId="0" borderId="0" xfId="1" applyNumberFormat="1" applyFont="1"/>
    <xf numFmtId="3" fontId="0" fillId="0" borderId="0" xfId="0" applyNumberFormat="1"/>
    <xf numFmtId="0" fontId="0" fillId="5" borderId="0" xfId="0" applyFill="1"/>
    <xf numFmtId="167" fontId="0" fillId="0" borderId="0" xfId="1" applyNumberFormat="1" applyFont="1"/>
    <xf numFmtId="165" fontId="0" fillId="0" borderId="0" xfId="0" applyNumberFormat="1"/>
    <xf numFmtId="0" fontId="0" fillId="6" borderId="0" xfId="0" applyFill="1"/>
    <xf numFmtId="0" fontId="0" fillId="7" borderId="0" xfId="0" applyFill="1"/>
    <xf numFmtId="0" fontId="0" fillId="0" borderId="0" xfId="0" applyAlignment="1"/>
    <xf numFmtId="0" fontId="0" fillId="0" borderId="1" xfId="0" applyBorder="1" applyAlignment="1">
      <alignment horizontal="center"/>
    </xf>
    <xf numFmtId="0" fontId="3" fillId="0" borderId="1" xfId="0" applyFont="1" applyBorder="1"/>
    <xf numFmtId="11" fontId="0" fillId="8" borderId="0" xfId="0" applyNumberFormat="1" applyFill="1"/>
    <xf numFmtId="0" fontId="0" fillId="8" borderId="0" xfId="0" applyFill="1"/>
    <xf numFmtId="0" fontId="0" fillId="9" borderId="0" xfId="0" applyFill="1"/>
    <xf numFmtId="17" fontId="0" fillId="0" borderId="0" xfId="0" applyNumberFormat="1"/>
    <xf numFmtId="2" fontId="0" fillId="9" borderId="0" xfId="0" applyNumberFormat="1" applyFill="1"/>
    <xf numFmtId="166" fontId="0" fillId="9" borderId="0" xfId="0" applyNumberFormat="1" applyFill="1"/>
    <xf numFmtId="0" fontId="9" fillId="10" borderId="0" xfId="0" applyFont="1" applyFill="1"/>
    <xf numFmtId="0" fontId="0" fillId="0" borderId="0" xfId="0" applyFill="1"/>
    <xf numFmtId="0" fontId="0" fillId="11" borderId="0" xfId="0" applyFill="1"/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/>
    <xf numFmtId="0" fontId="0" fillId="0" borderId="3" xfId="0" applyBorder="1"/>
    <xf numFmtId="2" fontId="0" fillId="0" borderId="4" xfId="0" applyNumberFormat="1" applyBorder="1"/>
    <xf numFmtId="0" fontId="0" fillId="0" borderId="6" xfId="0" applyBorder="1"/>
    <xf numFmtId="2" fontId="0" fillId="0" borderId="8" xfId="0" applyNumberFormat="1" applyBorder="1"/>
    <xf numFmtId="0" fontId="1" fillId="0" borderId="0" xfId="0" applyFont="1"/>
    <xf numFmtId="2" fontId="0" fillId="6" borderId="0" xfId="0" applyNumberFormat="1" applyFill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2" fontId="0" fillId="0" borderId="5" xfId="0" applyNumberFormat="1" applyBorder="1"/>
    <xf numFmtId="2" fontId="0" fillId="0" borderId="6" xfId="0" applyNumberFormat="1" applyBorder="1"/>
    <xf numFmtId="2" fontId="0" fillId="0" borderId="7" xfId="0" applyNumberFormat="1" applyBorder="1"/>
    <xf numFmtId="1" fontId="0" fillId="11" borderId="0" xfId="0" applyNumberFormat="1" applyFill="1"/>
    <xf numFmtId="1" fontId="13" fillId="0" borderId="0" xfId="0" applyNumberFormat="1" applyFont="1"/>
    <xf numFmtId="11" fontId="0" fillId="3" borderId="0" xfId="0" applyNumberFormat="1" applyFill="1"/>
    <xf numFmtId="2" fontId="13" fillId="0" borderId="0" xfId="0" applyNumberFormat="1" applyFont="1"/>
    <xf numFmtId="2" fontId="0" fillId="11" borderId="0" xfId="0" applyNumberFormat="1" applyFill="1"/>
    <xf numFmtId="1" fontId="13" fillId="0" borderId="0" xfId="0" applyNumberFormat="1" applyFont="1" applyFill="1"/>
    <xf numFmtId="1" fontId="0" fillId="6" borderId="0" xfId="0" applyNumberFormat="1" applyFill="1"/>
    <xf numFmtId="166" fontId="13" fillId="0" borderId="0" xfId="0" applyNumberFormat="1" applyFont="1"/>
    <xf numFmtId="166" fontId="0" fillId="11" borderId="0" xfId="0" applyNumberFormat="1" applyFill="1"/>
    <xf numFmtId="166" fontId="13" fillId="12" borderId="0" xfId="0" applyNumberFormat="1" applyFont="1" applyFill="1"/>
    <xf numFmtId="2" fontId="0" fillId="12" borderId="0" xfId="0" applyNumberFormat="1" applyFill="1"/>
    <xf numFmtId="0" fontId="15" fillId="0" borderId="10" xfId="2" applyFont="1" applyFill="1" applyBorder="1" applyAlignment="1"/>
    <xf numFmtId="0" fontId="15" fillId="0" borderId="10" xfId="2" applyFont="1" applyFill="1" applyBorder="1" applyAlignment="1">
      <alignment horizontal="right"/>
    </xf>
    <xf numFmtId="0" fontId="14" fillId="0" borderId="0" xfId="2" applyAlignment="1"/>
    <xf numFmtId="0" fontId="15" fillId="0" borderId="11" xfId="2" applyFont="1" applyFill="1" applyBorder="1" applyAlignment="1"/>
    <xf numFmtId="0" fontId="15" fillId="0" borderId="11" xfId="2" applyFont="1" applyFill="1" applyBorder="1" applyAlignment="1">
      <alignment horizontal="right"/>
    </xf>
    <xf numFmtId="0" fontId="16" fillId="0" borderId="11" xfId="2" applyFont="1" applyFill="1" applyBorder="1" applyAlignment="1">
      <alignment horizontal="right"/>
    </xf>
    <xf numFmtId="0" fontId="16" fillId="0" borderId="11" xfId="2" applyFont="1" applyFill="1" applyBorder="1" applyAlignment="1"/>
    <xf numFmtId="0" fontId="15" fillId="0" borderId="0" xfId="2" applyFont="1" applyFill="1" applyBorder="1" applyAlignment="1"/>
    <xf numFmtId="0" fontId="16" fillId="0" borderId="0" xfId="2" applyFont="1" applyFill="1" applyBorder="1" applyAlignment="1"/>
    <xf numFmtId="0" fontId="0" fillId="0" borderId="0" xfId="0" applyBorder="1"/>
    <xf numFmtId="0" fontId="1" fillId="0" borderId="0" xfId="0" applyFont="1" applyBorder="1"/>
    <xf numFmtId="0" fontId="15" fillId="0" borderId="0" xfId="2" applyFont="1" applyFill="1" applyBorder="1" applyAlignment="1">
      <alignment horizontal="right"/>
    </xf>
    <xf numFmtId="0" fontId="14" fillId="0" borderId="0" xfId="2" applyBorder="1" applyAlignment="1"/>
    <xf numFmtId="0" fontId="2" fillId="0" borderId="0" xfId="0" applyFont="1" applyAlignment="1">
      <alignment wrapText="1"/>
    </xf>
    <xf numFmtId="0" fontId="17" fillId="14" borderId="9" xfId="2" applyFont="1" applyFill="1" applyBorder="1" applyAlignment="1">
      <alignment horizontal="center" wrapText="1"/>
    </xf>
    <xf numFmtId="0" fontId="17" fillId="15" borderId="9" xfId="2" applyFont="1" applyFill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/>
    <xf numFmtId="0" fontId="1" fillId="13" borderId="0" xfId="0" applyFont="1" applyFill="1"/>
    <xf numFmtId="0" fontId="0" fillId="13" borderId="0" xfId="0" applyFill="1"/>
    <xf numFmtId="0" fontId="1" fillId="0" borderId="0" xfId="0" applyFont="1" applyFill="1"/>
    <xf numFmtId="0" fontId="15" fillId="16" borderId="10" xfId="2" applyFont="1" applyFill="1" applyBorder="1" applyAlignment="1"/>
    <xf numFmtId="0" fontId="15" fillId="16" borderId="11" xfId="2" applyFont="1" applyFill="1" applyBorder="1" applyAlignment="1"/>
    <xf numFmtId="0" fontId="15" fillId="16" borderId="0" xfId="2" applyFont="1" applyFill="1" applyBorder="1" applyAlignment="1"/>
    <xf numFmtId="0" fontId="16" fillId="16" borderId="0" xfId="2" applyFont="1" applyFill="1" applyBorder="1" applyAlignment="1"/>
    <xf numFmtId="2" fontId="13" fillId="17" borderId="0" xfId="0" applyNumberFormat="1" applyFont="1" applyFill="1"/>
    <xf numFmtId="0" fontId="15" fillId="18" borderId="11" xfId="2" applyFont="1" applyFill="1" applyBorder="1" applyAlignment="1"/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2"/>
    </xf>
    <xf numFmtId="0" fontId="1" fillId="0" borderId="0" xfId="0" applyFont="1" applyAlignment="1">
      <alignment horizontal="left" indent="2"/>
    </xf>
    <xf numFmtId="168" fontId="0" fillId="0" borderId="0" xfId="0" applyNumberFormat="1"/>
    <xf numFmtId="168" fontId="1" fillId="0" borderId="0" xfId="0" applyNumberFormat="1" applyFont="1"/>
    <xf numFmtId="0" fontId="0" fillId="0" borderId="0" xfId="0" applyFont="1" applyFill="1" applyBorder="1"/>
    <xf numFmtId="0" fontId="0" fillId="0" borderId="1" xfId="0" applyFont="1" applyFill="1" applyBorder="1"/>
    <xf numFmtId="0" fontId="1" fillId="0" borderId="0" xfId="0" applyFont="1" applyFill="1" applyBorder="1"/>
    <xf numFmtId="0" fontId="13" fillId="0" borderId="0" xfId="0" applyFont="1"/>
    <xf numFmtId="1" fontId="1" fillId="0" borderId="0" xfId="0" applyNumberFormat="1" applyFont="1"/>
    <xf numFmtId="15" fontId="1" fillId="0" borderId="0" xfId="0" applyNumberFormat="1" applyFont="1"/>
    <xf numFmtId="0" fontId="1" fillId="0" borderId="1" xfId="0" applyFont="1" applyBorder="1"/>
    <xf numFmtId="0" fontId="1" fillId="6" borderId="0" xfId="0" applyFont="1" applyFill="1"/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11" fontId="0" fillId="0" borderId="0" xfId="0" applyNumberFormat="1" applyBorder="1"/>
    <xf numFmtId="11" fontId="0" fillId="0" borderId="12" xfId="0" applyNumberFormat="1" applyBorder="1"/>
    <xf numFmtId="11" fontId="0" fillId="0" borderId="13" xfId="0" applyNumberFormat="1" applyBorder="1"/>
    <xf numFmtId="11" fontId="0" fillId="0" borderId="3" xfId="0" applyNumberFormat="1" applyBorder="1"/>
    <xf numFmtId="11" fontId="0" fillId="0" borderId="14" xfId="0" applyNumberFormat="1" applyBorder="1"/>
    <xf numFmtId="11" fontId="0" fillId="0" borderId="4" xfId="0" applyNumberFormat="1" applyBorder="1"/>
    <xf numFmtId="166" fontId="1" fillId="0" borderId="0" xfId="0" applyNumberFormat="1" applyFont="1" applyFill="1" applyBorder="1"/>
    <xf numFmtId="0" fontId="0" fillId="0" borderId="12" xfId="0" applyBorder="1"/>
    <xf numFmtId="0" fontId="0" fillId="0" borderId="8" xfId="0" applyBorder="1"/>
    <xf numFmtId="0" fontId="0" fillId="0" borderId="14" xfId="0" applyBorder="1"/>
    <xf numFmtId="0" fontId="0" fillId="0" borderId="4" xfId="0" applyBorder="1"/>
    <xf numFmtId="0" fontId="0" fillId="0" borderId="15" xfId="0" applyBorder="1"/>
    <xf numFmtId="0" fontId="0" fillId="0" borderId="13" xfId="0" applyBorder="1"/>
    <xf numFmtId="11" fontId="0" fillId="0" borderId="1" xfId="0" applyNumberFormat="1" applyBorder="1"/>
    <xf numFmtId="0" fontId="3" fillId="0" borderId="5" xfId="0" applyFont="1" applyBorder="1" applyAlignment="1">
      <alignment horizontal="center"/>
    </xf>
    <xf numFmtId="0" fontId="0" fillId="19" borderId="0" xfId="0" applyFill="1"/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quotePrefix="1"/>
    <xf numFmtId="169" fontId="0" fillId="0" borderId="0" xfId="0" applyNumberFormat="1"/>
    <xf numFmtId="166" fontId="13" fillId="6" borderId="0" xfId="0" applyNumberFormat="1" applyFont="1" applyFill="1"/>
  </cellXfs>
  <cellStyles count="3">
    <cellStyle name="Normal" xfId="0" builtinId="0"/>
    <cellStyle name="Normal_NMNE_VOC" xfId="2"/>
    <cellStyle name="Percent" xfId="1" builtinId="5"/>
  </cellStyles>
  <dxfs count="0"/>
  <tableStyles count="0" defaultTableStyle="TableStyleMedium9" defaultPivotStyle="PivotStyleLight16"/>
  <colors>
    <mruColors>
      <color rgb="FFFFFF66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tx>
            <c:v>EF vs. Vent Comp (Wet)</c:v>
          </c:tx>
          <c:spPr>
            <a:ln w="28575">
              <a:noFill/>
            </a:ln>
          </c:spPr>
          <c:xVal>
            <c:numRef>
              <c:f>Summary!$O$50:$O$56</c:f>
              <c:numCache>
                <c:formatCode>0.0</c:formatCode>
                <c:ptCount val="7"/>
                <c:pt idx="0">
                  <c:v>215.11921752382875</c:v>
                </c:pt>
                <c:pt idx="1">
                  <c:v>46.110271933185267</c:v>
                </c:pt>
                <c:pt idx="2">
                  <c:v>43.989685208690688</c:v>
                </c:pt>
                <c:pt idx="3">
                  <c:v>0.56391448051948045</c:v>
                </c:pt>
                <c:pt idx="4">
                  <c:v>3.9416134011827872</c:v>
                </c:pt>
                <c:pt idx="5">
                  <c:v>6.002777777777777E-2</c:v>
                </c:pt>
                <c:pt idx="6">
                  <c:v>0.47692666666666672</c:v>
                </c:pt>
              </c:numCache>
            </c:numRef>
          </c:xVal>
          <c:yVal>
            <c:numRef>
              <c:f>Summary!$O$3:$O$9</c:f>
              <c:numCache>
                <c:formatCode>0.00</c:formatCode>
                <c:ptCount val="7"/>
                <c:pt idx="0">
                  <c:v>13683.984549302846</c:v>
                </c:pt>
                <c:pt idx="1">
                  <c:v>1536.364192131686</c:v>
                </c:pt>
                <c:pt idx="2">
                  <c:v>802.68293418620021</c:v>
                </c:pt>
                <c:pt idx="3">
                  <c:v>9.5372466742822741</c:v>
                </c:pt>
                <c:pt idx="4">
                  <c:v>23.50804021567372</c:v>
                </c:pt>
                <c:pt idx="5">
                  <c:v>1.745069999999999</c:v>
                </c:pt>
                <c:pt idx="6">
                  <c:v>14.669309999999992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348288"/>
        <c:axId val="104350080"/>
      </c:scatterChart>
      <c:scatterChart>
        <c:scatterStyle val="lineMarker"/>
        <c:varyColors val="0"/>
        <c:ser>
          <c:idx val="0"/>
          <c:order val="0"/>
          <c:tx>
            <c:v>EF vs. Vent Comp (Dry)</c:v>
          </c:tx>
          <c:spPr>
            <a:ln w="28575">
              <a:noFill/>
            </a:ln>
          </c:spPr>
          <c:xVal>
            <c:numRef>
              <c:f>Summary!$O$50:$O$56</c:f>
              <c:numCache>
                <c:formatCode>0.0</c:formatCode>
                <c:ptCount val="7"/>
                <c:pt idx="0">
                  <c:v>215.11921752382875</c:v>
                </c:pt>
                <c:pt idx="1">
                  <c:v>46.110271933185267</c:v>
                </c:pt>
                <c:pt idx="2">
                  <c:v>43.989685208690688</c:v>
                </c:pt>
                <c:pt idx="3">
                  <c:v>0.56391448051948045</c:v>
                </c:pt>
                <c:pt idx="4">
                  <c:v>3.9416134011827872</c:v>
                </c:pt>
                <c:pt idx="5">
                  <c:v>6.002777777777777E-2</c:v>
                </c:pt>
                <c:pt idx="6">
                  <c:v>0.47692666666666672</c:v>
                </c:pt>
              </c:numCache>
            </c:numRef>
          </c:xVal>
          <c:yVal>
            <c:numRef>
              <c:f>Summary!$O$15:$O$21</c:f>
              <c:numCache>
                <c:formatCode>0.00</c:formatCode>
                <c:ptCount val="7"/>
                <c:pt idx="0">
                  <c:v>501160.12517972942</c:v>
                </c:pt>
                <c:pt idx="1">
                  <c:v>56637.269642099811</c:v>
                </c:pt>
                <c:pt idx="2">
                  <c:v>49310.370299966758</c:v>
                </c:pt>
                <c:pt idx="3">
                  <c:v>371.01330703410372</c:v>
                </c:pt>
                <c:pt idx="4">
                  <c:v>1003.9634815804217</c:v>
                </c:pt>
                <c:pt idx="5">
                  <c:v>37.15</c:v>
                </c:pt>
                <c:pt idx="6">
                  <c:v>377.76666666666665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353152"/>
        <c:axId val="104351616"/>
      </c:scatterChart>
      <c:valAx>
        <c:axId val="10434828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04350080"/>
        <c:crosses val="autoZero"/>
        <c:crossBetween val="midCat"/>
      </c:valAx>
      <c:valAx>
        <c:axId val="10435008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4348288"/>
        <c:crosses val="autoZero"/>
        <c:crossBetween val="midCat"/>
      </c:valAx>
      <c:valAx>
        <c:axId val="104351616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crossAx val="104353152"/>
        <c:crosses val="max"/>
        <c:crossBetween val="midCat"/>
      </c:valAx>
      <c:valAx>
        <c:axId val="104353152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one"/>
        <c:crossAx val="1043516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Marathon!$G$66</c:f>
              <c:strCache>
                <c:ptCount val="1"/>
                <c:pt idx="0">
                  <c:v>Benzene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Marathon!$B$67:$B$88</c:f>
              <c:numCache>
                <c:formatCode>General</c:formatCode>
                <c:ptCount val="22"/>
                <c:pt idx="0">
                  <c:v>3.28</c:v>
                </c:pt>
                <c:pt idx="1">
                  <c:v>2.34</c:v>
                </c:pt>
                <c:pt idx="2">
                  <c:v>3.15</c:v>
                </c:pt>
                <c:pt idx="3">
                  <c:v>3.27</c:v>
                </c:pt>
                <c:pt idx="4">
                  <c:v>2.04</c:v>
                </c:pt>
                <c:pt idx="5">
                  <c:v>2.89</c:v>
                </c:pt>
                <c:pt idx="6">
                  <c:v>1.83</c:v>
                </c:pt>
                <c:pt idx="7">
                  <c:v>2.27</c:v>
                </c:pt>
                <c:pt idx="8">
                  <c:v>2.35</c:v>
                </c:pt>
                <c:pt idx="9">
                  <c:v>2.23</c:v>
                </c:pt>
                <c:pt idx="10">
                  <c:v>2.68</c:v>
                </c:pt>
                <c:pt idx="11">
                  <c:v>2.15</c:v>
                </c:pt>
                <c:pt idx="12">
                  <c:v>3.43</c:v>
                </c:pt>
                <c:pt idx="13">
                  <c:v>1.17</c:v>
                </c:pt>
                <c:pt idx="14">
                  <c:v>2.2000000000000002</c:v>
                </c:pt>
                <c:pt idx="15">
                  <c:v>2.4300000000000002</c:v>
                </c:pt>
                <c:pt idx="16">
                  <c:v>2.09</c:v>
                </c:pt>
                <c:pt idx="17">
                  <c:v>1.8</c:v>
                </c:pt>
                <c:pt idx="18">
                  <c:v>1.1299999999999999</c:v>
                </c:pt>
                <c:pt idx="19">
                  <c:v>1.53</c:v>
                </c:pt>
                <c:pt idx="20">
                  <c:v>2.16</c:v>
                </c:pt>
                <c:pt idx="21">
                  <c:v>2.33</c:v>
                </c:pt>
              </c:numCache>
            </c:numRef>
          </c:xVal>
          <c:yVal>
            <c:numRef>
              <c:f>Marathon!$G$67:$G$88</c:f>
              <c:numCache>
                <c:formatCode>General</c:formatCode>
                <c:ptCount val="22"/>
                <c:pt idx="0">
                  <c:v>1.1100000000000001</c:v>
                </c:pt>
                <c:pt idx="1">
                  <c:v>0.628</c:v>
                </c:pt>
                <c:pt idx="2">
                  <c:v>0.4385</c:v>
                </c:pt>
                <c:pt idx="3">
                  <c:v>0.3095</c:v>
                </c:pt>
                <c:pt idx="4">
                  <c:v>0.25700000000000001</c:v>
                </c:pt>
                <c:pt idx="5">
                  <c:v>0.59799999999999998</c:v>
                </c:pt>
                <c:pt idx="6">
                  <c:v>0.81200000000000006</c:v>
                </c:pt>
                <c:pt idx="7">
                  <c:v>2.42</c:v>
                </c:pt>
                <c:pt idx="8">
                  <c:v>0.61</c:v>
                </c:pt>
                <c:pt idx="9">
                  <c:v>0.57599999999999996</c:v>
                </c:pt>
                <c:pt idx="10">
                  <c:v>0.40799999999999997</c:v>
                </c:pt>
                <c:pt idx="11">
                  <c:v>1.79</c:v>
                </c:pt>
                <c:pt idx="12">
                  <c:v>0.40500000000000003</c:v>
                </c:pt>
                <c:pt idx="13">
                  <c:v>0.35399999999999998</c:v>
                </c:pt>
                <c:pt idx="14">
                  <c:v>0.20399999999999999</c:v>
                </c:pt>
                <c:pt idx="15">
                  <c:v>0.1585</c:v>
                </c:pt>
                <c:pt idx="16">
                  <c:v>1.21</c:v>
                </c:pt>
                <c:pt idx="17">
                  <c:v>1.79</c:v>
                </c:pt>
                <c:pt idx="18">
                  <c:v>1.31</c:v>
                </c:pt>
                <c:pt idx="19">
                  <c:v>0.65800000000000003</c:v>
                </c:pt>
                <c:pt idx="20">
                  <c:v>0.90100000000000002</c:v>
                </c:pt>
                <c:pt idx="21">
                  <c:v>2.52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Marathon!$H$66</c:f>
              <c:strCache>
                <c:ptCount val="1"/>
                <c:pt idx="0">
                  <c:v>Toluene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Marathon!$B$67:$B$88</c:f>
              <c:numCache>
                <c:formatCode>General</c:formatCode>
                <c:ptCount val="22"/>
                <c:pt idx="0">
                  <c:v>3.28</c:v>
                </c:pt>
                <c:pt idx="1">
                  <c:v>2.34</c:v>
                </c:pt>
                <c:pt idx="2">
                  <c:v>3.15</c:v>
                </c:pt>
                <c:pt idx="3">
                  <c:v>3.27</c:v>
                </c:pt>
                <c:pt idx="4">
                  <c:v>2.04</c:v>
                </c:pt>
                <c:pt idx="5">
                  <c:v>2.89</c:v>
                </c:pt>
                <c:pt idx="6">
                  <c:v>1.83</c:v>
                </c:pt>
                <c:pt idx="7">
                  <c:v>2.27</c:v>
                </c:pt>
                <c:pt idx="8">
                  <c:v>2.35</c:v>
                </c:pt>
                <c:pt idx="9">
                  <c:v>2.23</c:v>
                </c:pt>
                <c:pt idx="10">
                  <c:v>2.68</c:v>
                </c:pt>
                <c:pt idx="11">
                  <c:v>2.15</c:v>
                </c:pt>
                <c:pt idx="12">
                  <c:v>3.43</c:v>
                </c:pt>
                <c:pt idx="13">
                  <c:v>1.17</c:v>
                </c:pt>
                <c:pt idx="14">
                  <c:v>2.2000000000000002</c:v>
                </c:pt>
                <c:pt idx="15">
                  <c:v>2.4300000000000002</c:v>
                </c:pt>
                <c:pt idx="16">
                  <c:v>2.09</c:v>
                </c:pt>
                <c:pt idx="17">
                  <c:v>1.8</c:v>
                </c:pt>
                <c:pt idx="18">
                  <c:v>1.1299999999999999</c:v>
                </c:pt>
                <c:pt idx="19">
                  <c:v>1.53</c:v>
                </c:pt>
                <c:pt idx="20">
                  <c:v>2.16</c:v>
                </c:pt>
                <c:pt idx="21">
                  <c:v>2.33</c:v>
                </c:pt>
              </c:numCache>
            </c:numRef>
          </c:xVal>
          <c:yVal>
            <c:numRef>
              <c:f>Marathon!$H$67:$H$88</c:f>
              <c:numCache>
                <c:formatCode>General</c:formatCode>
                <c:ptCount val="22"/>
                <c:pt idx="0">
                  <c:v>6.13</c:v>
                </c:pt>
                <c:pt idx="1">
                  <c:v>1.93</c:v>
                </c:pt>
                <c:pt idx="2">
                  <c:v>1.45</c:v>
                </c:pt>
                <c:pt idx="3">
                  <c:v>1.36</c:v>
                </c:pt>
                <c:pt idx="4">
                  <c:v>0.64400000000000002</c:v>
                </c:pt>
                <c:pt idx="5">
                  <c:v>1.48</c:v>
                </c:pt>
                <c:pt idx="6">
                  <c:v>1.77</c:v>
                </c:pt>
                <c:pt idx="7">
                  <c:v>5.68</c:v>
                </c:pt>
                <c:pt idx="8">
                  <c:v>4.01</c:v>
                </c:pt>
                <c:pt idx="9">
                  <c:v>1.18</c:v>
                </c:pt>
                <c:pt idx="10">
                  <c:v>0.57799999999999996</c:v>
                </c:pt>
                <c:pt idx="11">
                  <c:v>4.26</c:v>
                </c:pt>
                <c:pt idx="12">
                  <c:v>0.81</c:v>
                </c:pt>
                <c:pt idx="13">
                  <c:v>0.76900000000000002</c:v>
                </c:pt>
                <c:pt idx="14">
                  <c:v>0.98499999999999999</c:v>
                </c:pt>
                <c:pt idx="15">
                  <c:v>0.48599999999999999</c:v>
                </c:pt>
                <c:pt idx="16">
                  <c:v>2.5</c:v>
                </c:pt>
                <c:pt idx="17">
                  <c:v>4.1100000000000003</c:v>
                </c:pt>
                <c:pt idx="18">
                  <c:v>3.06</c:v>
                </c:pt>
                <c:pt idx="19">
                  <c:v>1.33</c:v>
                </c:pt>
                <c:pt idx="20">
                  <c:v>2.4</c:v>
                </c:pt>
                <c:pt idx="21">
                  <c:v>5.99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870912"/>
        <c:axId val="110872448"/>
      </c:scatterChart>
      <c:valAx>
        <c:axId val="110870912"/>
        <c:scaling>
          <c:orientation val="minMax"/>
          <c:min val="1"/>
        </c:scaling>
        <c:delete val="0"/>
        <c:axPos val="b"/>
        <c:numFmt formatCode="General" sourceLinked="1"/>
        <c:majorTickMark val="out"/>
        <c:minorTickMark val="none"/>
        <c:tickLblPos val="nextTo"/>
        <c:crossAx val="110872448"/>
        <c:crosses val="autoZero"/>
        <c:crossBetween val="midCat"/>
      </c:valAx>
      <c:valAx>
        <c:axId val="110872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870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Marathon!$D$66</c:f>
              <c:strCache>
                <c:ptCount val="1"/>
                <c:pt idx="0">
                  <c:v>NMNE VOC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Marathon!$C$67:$C$88</c:f>
              <c:numCache>
                <c:formatCode>General</c:formatCode>
                <c:ptCount val="22"/>
                <c:pt idx="0">
                  <c:v>242</c:v>
                </c:pt>
                <c:pt idx="1">
                  <c:v>244</c:v>
                </c:pt>
                <c:pt idx="2">
                  <c:v>235</c:v>
                </c:pt>
                <c:pt idx="3">
                  <c:v>252</c:v>
                </c:pt>
                <c:pt idx="4">
                  <c:v>248</c:v>
                </c:pt>
                <c:pt idx="5">
                  <c:v>257</c:v>
                </c:pt>
                <c:pt idx="6">
                  <c:v>249</c:v>
                </c:pt>
                <c:pt idx="7">
                  <c:v>243</c:v>
                </c:pt>
                <c:pt idx="8">
                  <c:v>238</c:v>
                </c:pt>
                <c:pt idx="9">
                  <c:v>241</c:v>
                </c:pt>
                <c:pt idx="10">
                  <c:v>213</c:v>
                </c:pt>
                <c:pt idx="11">
                  <c:v>231</c:v>
                </c:pt>
                <c:pt idx="12">
                  <c:v>219</c:v>
                </c:pt>
                <c:pt idx="13">
                  <c:v>299</c:v>
                </c:pt>
                <c:pt idx="14">
                  <c:v>268</c:v>
                </c:pt>
                <c:pt idx="15">
                  <c:v>271</c:v>
                </c:pt>
                <c:pt idx="16">
                  <c:v>239</c:v>
                </c:pt>
                <c:pt idx="17">
                  <c:v>288</c:v>
                </c:pt>
                <c:pt idx="18">
                  <c:v>278</c:v>
                </c:pt>
                <c:pt idx="19">
                  <c:v>349</c:v>
                </c:pt>
                <c:pt idx="20">
                  <c:v>257</c:v>
                </c:pt>
                <c:pt idx="21">
                  <c:v>272</c:v>
                </c:pt>
              </c:numCache>
            </c:numRef>
          </c:xVal>
          <c:yVal>
            <c:numRef>
              <c:f>Marathon!$D$67:$D$88</c:f>
              <c:numCache>
                <c:formatCode>General</c:formatCode>
                <c:ptCount val="22"/>
                <c:pt idx="0">
                  <c:v>100</c:v>
                </c:pt>
                <c:pt idx="1">
                  <c:v>88.3</c:v>
                </c:pt>
                <c:pt idx="2">
                  <c:v>13.2</c:v>
                </c:pt>
                <c:pt idx="3">
                  <c:v>12.4</c:v>
                </c:pt>
                <c:pt idx="4">
                  <c:v>3.01</c:v>
                </c:pt>
                <c:pt idx="5">
                  <c:v>20.399999999999999</c:v>
                </c:pt>
                <c:pt idx="6">
                  <c:v>147</c:v>
                </c:pt>
                <c:pt idx="7">
                  <c:v>110.1</c:v>
                </c:pt>
                <c:pt idx="8">
                  <c:v>209</c:v>
                </c:pt>
                <c:pt idx="9">
                  <c:v>67.099999999999994</c:v>
                </c:pt>
                <c:pt idx="10">
                  <c:v>128</c:v>
                </c:pt>
                <c:pt idx="11">
                  <c:v>87.9</c:v>
                </c:pt>
                <c:pt idx="12">
                  <c:v>12.1</c:v>
                </c:pt>
                <c:pt idx="13">
                  <c:v>22.8</c:v>
                </c:pt>
                <c:pt idx="15">
                  <c:v>47.6</c:v>
                </c:pt>
                <c:pt idx="16">
                  <c:v>57</c:v>
                </c:pt>
                <c:pt idx="17">
                  <c:v>153</c:v>
                </c:pt>
                <c:pt idx="18">
                  <c:v>188</c:v>
                </c:pt>
                <c:pt idx="19">
                  <c:v>50.3</c:v>
                </c:pt>
                <c:pt idx="20">
                  <c:v>9.44</c:v>
                </c:pt>
                <c:pt idx="21">
                  <c:v>17.399999999999999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Marathon!$E$66</c:f>
              <c:strCache>
                <c:ptCount val="1"/>
                <c:pt idx="0">
                  <c:v>Methane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Marathon!$C$67:$C$88</c:f>
              <c:numCache>
                <c:formatCode>General</c:formatCode>
                <c:ptCount val="22"/>
                <c:pt idx="0">
                  <c:v>242</c:v>
                </c:pt>
                <c:pt idx="1">
                  <c:v>244</c:v>
                </c:pt>
                <c:pt idx="2">
                  <c:v>235</c:v>
                </c:pt>
                <c:pt idx="3">
                  <c:v>252</c:v>
                </c:pt>
                <c:pt idx="4">
                  <c:v>248</c:v>
                </c:pt>
                <c:pt idx="5">
                  <c:v>257</c:v>
                </c:pt>
                <c:pt idx="6">
                  <c:v>249</c:v>
                </c:pt>
                <c:pt idx="7">
                  <c:v>243</c:v>
                </c:pt>
                <c:pt idx="8">
                  <c:v>238</c:v>
                </c:pt>
                <c:pt idx="9">
                  <c:v>241</c:v>
                </c:pt>
                <c:pt idx="10">
                  <c:v>213</c:v>
                </c:pt>
                <c:pt idx="11">
                  <c:v>231</c:v>
                </c:pt>
                <c:pt idx="12">
                  <c:v>219</c:v>
                </c:pt>
                <c:pt idx="13">
                  <c:v>299</c:v>
                </c:pt>
                <c:pt idx="14">
                  <c:v>268</c:v>
                </c:pt>
                <c:pt idx="15">
                  <c:v>271</c:v>
                </c:pt>
                <c:pt idx="16">
                  <c:v>239</c:v>
                </c:pt>
                <c:pt idx="17">
                  <c:v>288</c:v>
                </c:pt>
                <c:pt idx="18">
                  <c:v>278</c:v>
                </c:pt>
                <c:pt idx="19">
                  <c:v>349</c:v>
                </c:pt>
                <c:pt idx="20">
                  <c:v>257</c:v>
                </c:pt>
                <c:pt idx="21">
                  <c:v>272</c:v>
                </c:pt>
              </c:numCache>
            </c:numRef>
          </c:xVal>
          <c:yVal>
            <c:numRef>
              <c:f>Marathon!$E$67:$E$88</c:f>
              <c:numCache>
                <c:formatCode>General</c:formatCode>
                <c:ptCount val="22"/>
                <c:pt idx="0">
                  <c:v>306</c:v>
                </c:pt>
                <c:pt idx="1">
                  <c:v>189</c:v>
                </c:pt>
                <c:pt idx="2">
                  <c:v>76.5</c:v>
                </c:pt>
                <c:pt idx="3">
                  <c:v>48.5</c:v>
                </c:pt>
                <c:pt idx="4">
                  <c:v>23</c:v>
                </c:pt>
                <c:pt idx="5">
                  <c:v>209</c:v>
                </c:pt>
                <c:pt idx="6">
                  <c:v>219</c:v>
                </c:pt>
                <c:pt idx="7">
                  <c:v>637</c:v>
                </c:pt>
                <c:pt idx="8">
                  <c:v>150</c:v>
                </c:pt>
                <c:pt idx="9">
                  <c:v>285</c:v>
                </c:pt>
                <c:pt idx="10">
                  <c:v>270</c:v>
                </c:pt>
                <c:pt idx="11">
                  <c:v>344</c:v>
                </c:pt>
                <c:pt idx="12">
                  <c:v>10.5</c:v>
                </c:pt>
                <c:pt idx="13">
                  <c:v>198</c:v>
                </c:pt>
                <c:pt idx="14">
                  <c:v>117</c:v>
                </c:pt>
                <c:pt idx="15">
                  <c:v>59.2</c:v>
                </c:pt>
                <c:pt idx="16">
                  <c:v>297</c:v>
                </c:pt>
                <c:pt idx="17">
                  <c:v>545</c:v>
                </c:pt>
                <c:pt idx="18">
                  <c:v>303</c:v>
                </c:pt>
                <c:pt idx="19">
                  <c:v>218</c:v>
                </c:pt>
                <c:pt idx="20">
                  <c:v>234</c:v>
                </c:pt>
                <c:pt idx="21">
                  <c:v>723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Marathon!$F$66</c:f>
              <c:strCache>
                <c:ptCount val="1"/>
                <c:pt idx="0">
                  <c:v>Ethane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Marathon!$C$67:$C$88</c:f>
              <c:numCache>
                <c:formatCode>General</c:formatCode>
                <c:ptCount val="22"/>
                <c:pt idx="0">
                  <c:v>242</c:v>
                </c:pt>
                <c:pt idx="1">
                  <c:v>244</c:v>
                </c:pt>
                <c:pt idx="2">
                  <c:v>235</c:v>
                </c:pt>
                <c:pt idx="3">
                  <c:v>252</c:v>
                </c:pt>
                <c:pt idx="4">
                  <c:v>248</c:v>
                </c:pt>
                <c:pt idx="5">
                  <c:v>257</c:v>
                </c:pt>
                <c:pt idx="6">
                  <c:v>249</c:v>
                </c:pt>
                <c:pt idx="7">
                  <c:v>243</c:v>
                </c:pt>
                <c:pt idx="8">
                  <c:v>238</c:v>
                </c:pt>
                <c:pt idx="9">
                  <c:v>241</c:v>
                </c:pt>
                <c:pt idx="10">
                  <c:v>213</c:v>
                </c:pt>
                <c:pt idx="11">
                  <c:v>231</c:v>
                </c:pt>
                <c:pt idx="12">
                  <c:v>219</c:v>
                </c:pt>
                <c:pt idx="13">
                  <c:v>299</c:v>
                </c:pt>
                <c:pt idx="14">
                  <c:v>268</c:v>
                </c:pt>
                <c:pt idx="15">
                  <c:v>271</c:v>
                </c:pt>
                <c:pt idx="16">
                  <c:v>239</c:v>
                </c:pt>
                <c:pt idx="17">
                  <c:v>288</c:v>
                </c:pt>
                <c:pt idx="18">
                  <c:v>278</c:v>
                </c:pt>
                <c:pt idx="19">
                  <c:v>349</c:v>
                </c:pt>
                <c:pt idx="20">
                  <c:v>257</c:v>
                </c:pt>
                <c:pt idx="21">
                  <c:v>272</c:v>
                </c:pt>
              </c:numCache>
            </c:numRef>
          </c:xVal>
          <c:yVal>
            <c:numRef>
              <c:f>Marathon!$F$67:$F$88</c:f>
              <c:numCache>
                <c:formatCode>General</c:formatCode>
                <c:ptCount val="22"/>
                <c:pt idx="0">
                  <c:v>70.900000000000006</c:v>
                </c:pt>
                <c:pt idx="1">
                  <c:v>41.6</c:v>
                </c:pt>
                <c:pt idx="2">
                  <c:v>16</c:v>
                </c:pt>
                <c:pt idx="3">
                  <c:v>10.9</c:v>
                </c:pt>
                <c:pt idx="4">
                  <c:v>5.08</c:v>
                </c:pt>
                <c:pt idx="5">
                  <c:v>53.2</c:v>
                </c:pt>
                <c:pt idx="6">
                  <c:v>52.8</c:v>
                </c:pt>
                <c:pt idx="7">
                  <c:v>172</c:v>
                </c:pt>
                <c:pt idx="8">
                  <c:v>35.4</c:v>
                </c:pt>
                <c:pt idx="9">
                  <c:v>70.2</c:v>
                </c:pt>
                <c:pt idx="10">
                  <c:v>61.7</c:v>
                </c:pt>
                <c:pt idx="11">
                  <c:v>85</c:v>
                </c:pt>
                <c:pt idx="12">
                  <c:v>2.66</c:v>
                </c:pt>
                <c:pt idx="13">
                  <c:v>44.8</c:v>
                </c:pt>
                <c:pt idx="14">
                  <c:v>30.3</c:v>
                </c:pt>
                <c:pt idx="15">
                  <c:v>15.6</c:v>
                </c:pt>
                <c:pt idx="16">
                  <c:v>72.8</c:v>
                </c:pt>
                <c:pt idx="17">
                  <c:v>134</c:v>
                </c:pt>
                <c:pt idx="18">
                  <c:v>77.2</c:v>
                </c:pt>
                <c:pt idx="19">
                  <c:v>51.8</c:v>
                </c:pt>
                <c:pt idx="20">
                  <c:v>57</c:v>
                </c:pt>
                <c:pt idx="21">
                  <c:v>148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36064"/>
        <c:axId val="110937600"/>
      </c:scatterChart>
      <c:valAx>
        <c:axId val="110936064"/>
        <c:scaling>
          <c:orientation val="minMax"/>
          <c:max val="350"/>
          <c:min val="200"/>
        </c:scaling>
        <c:delete val="0"/>
        <c:axPos val="b"/>
        <c:numFmt formatCode="General" sourceLinked="1"/>
        <c:majorTickMark val="out"/>
        <c:minorTickMark val="none"/>
        <c:tickLblPos val="nextTo"/>
        <c:crossAx val="110937600"/>
        <c:crosses val="autoZero"/>
        <c:crossBetween val="midCat"/>
      </c:valAx>
      <c:valAx>
        <c:axId val="110937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936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Marathon!$G$66</c:f>
              <c:strCache>
                <c:ptCount val="1"/>
                <c:pt idx="0">
                  <c:v>Benzene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Marathon!$C$67:$C$88</c:f>
              <c:numCache>
                <c:formatCode>General</c:formatCode>
                <c:ptCount val="22"/>
                <c:pt idx="0">
                  <c:v>242</c:v>
                </c:pt>
                <c:pt idx="1">
                  <c:v>244</c:v>
                </c:pt>
                <c:pt idx="2">
                  <c:v>235</c:v>
                </c:pt>
                <c:pt idx="3">
                  <c:v>252</c:v>
                </c:pt>
                <c:pt idx="4">
                  <c:v>248</c:v>
                </c:pt>
                <c:pt idx="5">
                  <c:v>257</c:v>
                </c:pt>
                <c:pt idx="6">
                  <c:v>249</c:v>
                </c:pt>
                <c:pt idx="7">
                  <c:v>243</c:v>
                </c:pt>
                <c:pt idx="8">
                  <c:v>238</c:v>
                </c:pt>
                <c:pt idx="9">
                  <c:v>241</c:v>
                </c:pt>
                <c:pt idx="10">
                  <c:v>213</c:v>
                </c:pt>
                <c:pt idx="11">
                  <c:v>231</c:v>
                </c:pt>
                <c:pt idx="12">
                  <c:v>219</c:v>
                </c:pt>
                <c:pt idx="13">
                  <c:v>299</c:v>
                </c:pt>
                <c:pt idx="14">
                  <c:v>268</c:v>
                </c:pt>
                <c:pt idx="15">
                  <c:v>271</c:v>
                </c:pt>
                <c:pt idx="16">
                  <c:v>239</c:v>
                </c:pt>
                <c:pt idx="17">
                  <c:v>288</c:v>
                </c:pt>
                <c:pt idx="18">
                  <c:v>278</c:v>
                </c:pt>
                <c:pt idx="19">
                  <c:v>349</c:v>
                </c:pt>
                <c:pt idx="20">
                  <c:v>257</c:v>
                </c:pt>
                <c:pt idx="21">
                  <c:v>272</c:v>
                </c:pt>
              </c:numCache>
            </c:numRef>
          </c:xVal>
          <c:yVal>
            <c:numRef>
              <c:f>Marathon!$G$67:$G$88</c:f>
              <c:numCache>
                <c:formatCode>General</c:formatCode>
                <c:ptCount val="22"/>
                <c:pt idx="0">
                  <c:v>1.1100000000000001</c:v>
                </c:pt>
                <c:pt idx="1">
                  <c:v>0.628</c:v>
                </c:pt>
                <c:pt idx="2">
                  <c:v>0.4385</c:v>
                </c:pt>
                <c:pt idx="3">
                  <c:v>0.3095</c:v>
                </c:pt>
                <c:pt idx="4">
                  <c:v>0.25700000000000001</c:v>
                </c:pt>
                <c:pt idx="5">
                  <c:v>0.59799999999999998</c:v>
                </c:pt>
                <c:pt idx="6">
                  <c:v>0.81200000000000006</c:v>
                </c:pt>
                <c:pt idx="7">
                  <c:v>2.42</c:v>
                </c:pt>
                <c:pt idx="8">
                  <c:v>0.61</c:v>
                </c:pt>
                <c:pt idx="9">
                  <c:v>0.57599999999999996</c:v>
                </c:pt>
                <c:pt idx="10">
                  <c:v>0.40799999999999997</c:v>
                </c:pt>
                <c:pt idx="11">
                  <c:v>1.79</c:v>
                </c:pt>
                <c:pt idx="12">
                  <c:v>0.40500000000000003</c:v>
                </c:pt>
                <c:pt idx="13">
                  <c:v>0.35399999999999998</c:v>
                </c:pt>
                <c:pt idx="14">
                  <c:v>0.20399999999999999</c:v>
                </c:pt>
                <c:pt idx="15">
                  <c:v>0.1585</c:v>
                </c:pt>
                <c:pt idx="16">
                  <c:v>1.21</c:v>
                </c:pt>
                <c:pt idx="17">
                  <c:v>1.79</c:v>
                </c:pt>
                <c:pt idx="18">
                  <c:v>1.31</c:v>
                </c:pt>
                <c:pt idx="19">
                  <c:v>0.65800000000000003</c:v>
                </c:pt>
                <c:pt idx="20">
                  <c:v>0.90100000000000002</c:v>
                </c:pt>
                <c:pt idx="21">
                  <c:v>2.52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Marathon!$H$66</c:f>
              <c:strCache>
                <c:ptCount val="1"/>
                <c:pt idx="0">
                  <c:v>Toluene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Marathon!$C$67:$C$88</c:f>
              <c:numCache>
                <c:formatCode>General</c:formatCode>
                <c:ptCount val="22"/>
                <c:pt idx="0">
                  <c:v>242</c:v>
                </c:pt>
                <c:pt idx="1">
                  <c:v>244</c:v>
                </c:pt>
                <c:pt idx="2">
                  <c:v>235</c:v>
                </c:pt>
                <c:pt idx="3">
                  <c:v>252</c:v>
                </c:pt>
                <c:pt idx="4">
                  <c:v>248</c:v>
                </c:pt>
                <c:pt idx="5">
                  <c:v>257</c:v>
                </c:pt>
                <c:pt idx="6">
                  <c:v>249</c:v>
                </c:pt>
                <c:pt idx="7">
                  <c:v>243</c:v>
                </c:pt>
                <c:pt idx="8">
                  <c:v>238</c:v>
                </c:pt>
                <c:pt idx="9">
                  <c:v>241</c:v>
                </c:pt>
                <c:pt idx="10">
                  <c:v>213</c:v>
                </c:pt>
                <c:pt idx="11">
                  <c:v>231</c:v>
                </c:pt>
                <c:pt idx="12">
                  <c:v>219</c:v>
                </c:pt>
                <c:pt idx="13">
                  <c:v>299</c:v>
                </c:pt>
                <c:pt idx="14">
                  <c:v>268</c:v>
                </c:pt>
                <c:pt idx="15">
                  <c:v>271</c:v>
                </c:pt>
                <c:pt idx="16">
                  <c:v>239</c:v>
                </c:pt>
                <c:pt idx="17">
                  <c:v>288</c:v>
                </c:pt>
                <c:pt idx="18">
                  <c:v>278</c:v>
                </c:pt>
                <c:pt idx="19">
                  <c:v>349</c:v>
                </c:pt>
                <c:pt idx="20">
                  <c:v>257</c:v>
                </c:pt>
                <c:pt idx="21">
                  <c:v>272</c:v>
                </c:pt>
              </c:numCache>
            </c:numRef>
          </c:xVal>
          <c:yVal>
            <c:numRef>
              <c:f>Marathon!$H$67:$H$88</c:f>
              <c:numCache>
                <c:formatCode>General</c:formatCode>
                <c:ptCount val="22"/>
                <c:pt idx="0">
                  <c:v>6.13</c:v>
                </c:pt>
                <c:pt idx="1">
                  <c:v>1.93</c:v>
                </c:pt>
                <c:pt idx="2">
                  <c:v>1.45</c:v>
                </c:pt>
                <c:pt idx="3">
                  <c:v>1.36</c:v>
                </c:pt>
                <c:pt idx="4">
                  <c:v>0.64400000000000002</c:v>
                </c:pt>
                <c:pt idx="5">
                  <c:v>1.48</c:v>
                </c:pt>
                <c:pt idx="6">
                  <c:v>1.77</c:v>
                </c:pt>
                <c:pt idx="7">
                  <c:v>5.68</c:v>
                </c:pt>
                <c:pt idx="8">
                  <c:v>4.01</c:v>
                </c:pt>
                <c:pt idx="9">
                  <c:v>1.18</c:v>
                </c:pt>
                <c:pt idx="10">
                  <c:v>0.57799999999999996</c:v>
                </c:pt>
                <c:pt idx="11">
                  <c:v>4.26</c:v>
                </c:pt>
                <c:pt idx="12">
                  <c:v>0.81</c:v>
                </c:pt>
                <c:pt idx="13">
                  <c:v>0.76900000000000002</c:v>
                </c:pt>
                <c:pt idx="14">
                  <c:v>0.98499999999999999</c:v>
                </c:pt>
                <c:pt idx="15">
                  <c:v>0.48599999999999999</c:v>
                </c:pt>
                <c:pt idx="16">
                  <c:v>2.5</c:v>
                </c:pt>
                <c:pt idx="17">
                  <c:v>4.1100000000000003</c:v>
                </c:pt>
                <c:pt idx="18">
                  <c:v>3.06</c:v>
                </c:pt>
                <c:pt idx="19">
                  <c:v>1.33</c:v>
                </c:pt>
                <c:pt idx="20">
                  <c:v>2.4</c:v>
                </c:pt>
                <c:pt idx="21">
                  <c:v>5.99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78432"/>
        <c:axId val="113379968"/>
      </c:scatterChart>
      <c:valAx>
        <c:axId val="113378432"/>
        <c:scaling>
          <c:orientation val="minMax"/>
          <c:max val="350"/>
          <c:min val="200"/>
        </c:scaling>
        <c:delete val="0"/>
        <c:axPos val="b"/>
        <c:numFmt formatCode="General" sourceLinked="1"/>
        <c:majorTickMark val="out"/>
        <c:minorTickMark val="none"/>
        <c:tickLblPos val="nextTo"/>
        <c:crossAx val="113379968"/>
        <c:crosses val="autoZero"/>
        <c:crossBetween val="midCat"/>
      </c:valAx>
      <c:valAx>
        <c:axId val="113379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378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Marathon!$D$93</c:f>
              <c:strCache>
                <c:ptCount val="1"/>
                <c:pt idx="0">
                  <c:v>SVOC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Marathon!$B$94:$B$103</c:f>
              <c:numCache>
                <c:formatCode>General</c:formatCode>
                <c:ptCount val="10"/>
                <c:pt idx="0">
                  <c:v>3.28</c:v>
                </c:pt>
                <c:pt idx="1">
                  <c:v>2.34</c:v>
                </c:pt>
                <c:pt idx="2">
                  <c:v>3.15</c:v>
                </c:pt>
                <c:pt idx="3">
                  <c:v>3.27</c:v>
                </c:pt>
                <c:pt idx="4">
                  <c:v>3.08</c:v>
                </c:pt>
                <c:pt idx="5">
                  <c:v>2.39</c:v>
                </c:pt>
                <c:pt idx="6">
                  <c:v>2.04</c:v>
                </c:pt>
                <c:pt idx="7">
                  <c:v>2.89</c:v>
                </c:pt>
                <c:pt idx="8">
                  <c:v>1.83</c:v>
                </c:pt>
                <c:pt idx="9">
                  <c:v>2.27</c:v>
                </c:pt>
              </c:numCache>
            </c:numRef>
          </c:xVal>
          <c:yVal>
            <c:numRef>
              <c:f>Marathon!$D$94:$D$103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1.4</c:v>
                </c:pt>
                <c:pt idx="2">
                  <c:v>0.55000000000000004</c:v>
                </c:pt>
                <c:pt idx="3">
                  <c:v>0.3</c:v>
                </c:pt>
                <c:pt idx="4">
                  <c:v>2.2000000000000002</c:v>
                </c:pt>
                <c:pt idx="5">
                  <c:v>0.54</c:v>
                </c:pt>
                <c:pt idx="6">
                  <c:v>0.16</c:v>
                </c:pt>
                <c:pt idx="7">
                  <c:v>1.1000000000000001</c:v>
                </c:pt>
                <c:pt idx="8">
                  <c:v>0.98</c:v>
                </c:pt>
                <c:pt idx="9">
                  <c:v>2.2999999999999998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414912"/>
        <c:axId val="113416448"/>
      </c:scatterChart>
      <c:valAx>
        <c:axId val="113414912"/>
        <c:scaling>
          <c:orientation val="minMax"/>
          <c:min val="1.5"/>
        </c:scaling>
        <c:delete val="0"/>
        <c:axPos val="b"/>
        <c:numFmt formatCode="General" sourceLinked="1"/>
        <c:majorTickMark val="out"/>
        <c:minorTickMark val="none"/>
        <c:tickLblPos val="nextTo"/>
        <c:crossAx val="113416448"/>
        <c:crosses val="autoZero"/>
        <c:crossBetween val="midCat"/>
      </c:valAx>
      <c:valAx>
        <c:axId val="113416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4149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Marathon!$D$93</c:f>
              <c:strCache>
                <c:ptCount val="1"/>
                <c:pt idx="0">
                  <c:v>SVOC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Marathon!$C$94:$C$103</c:f>
              <c:numCache>
                <c:formatCode>General</c:formatCode>
                <c:ptCount val="10"/>
                <c:pt idx="0">
                  <c:v>242</c:v>
                </c:pt>
                <c:pt idx="1">
                  <c:v>244</c:v>
                </c:pt>
                <c:pt idx="2">
                  <c:v>235</c:v>
                </c:pt>
                <c:pt idx="3">
                  <c:v>252</c:v>
                </c:pt>
                <c:pt idx="4">
                  <c:v>275</c:v>
                </c:pt>
                <c:pt idx="5">
                  <c:v>242</c:v>
                </c:pt>
                <c:pt idx="6">
                  <c:v>248</c:v>
                </c:pt>
                <c:pt idx="7">
                  <c:v>257</c:v>
                </c:pt>
                <c:pt idx="8">
                  <c:v>249</c:v>
                </c:pt>
                <c:pt idx="9">
                  <c:v>243</c:v>
                </c:pt>
              </c:numCache>
            </c:numRef>
          </c:xVal>
          <c:yVal>
            <c:numRef>
              <c:f>Marathon!$D$94:$D$103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1.4</c:v>
                </c:pt>
                <c:pt idx="2">
                  <c:v>0.55000000000000004</c:v>
                </c:pt>
                <c:pt idx="3">
                  <c:v>0.3</c:v>
                </c:pt>
                <c:pt idx="4">
                  <c:v>2.2000000000000002</c:v>
                </c:pt>
                <c:pt idx="5">
                  <c:v>0.54</c:v>
                </c:pt>
                <c:pt idx="6">
                  <c:v>0.16</c:v>
                </c:pt>
                <c:pt idx="7">
                  <c:v>1.1000000000000001</c:v>
                </c:pt>
                <c:pt idx="8">
                  <c:v>0.98</c:v>
                </c:pt>
                <c:pt idx="9">
                  <c:v>2.2999999999999998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436928"/>
        <c:axId val="113438720"/>
      </c:scatterChart>
      <c:valAx>
        <c:axId val="11343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438720"/>
        <c:crosses val="autoZero"/>
        <c:crossBetween val="midCat"/>
      </c:valAx>
      <c:valAx>
        <c:axId val="113438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4369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71741032370933E-2"/>
          <c:y val="5.1400554097404488E-2"/>
          <c:w val="0.83665879265092102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Marathon!$B$108</c:f>
              <c:strCache>
                <c:ptCount val="1"/>
                <c:pt idx="0">
                  <c:v>NMNE VOC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Marathon!$A$109:$A$111</c:f>
              <c:numCache>
                <c:formatCode>General</c:formatCode>
                <c:ptCount val="3"/>
                <c:pt idx="0">
                  <c:v>230</c:v>
                </c:pt>
                <c:pt idx="1">
                  <c:v>250</c:v>
                </c:pt>
                <c:pt idx="2">
                  <c:v>290</c:v>
                </c:pt>
              </c:numCache>
            </c:numRef>
          </c:xVal>
          <c:yVal>
            <c:numRef>
              <c:f>Marathon!$B$109:$B$111</c:f>
              <c:numCache>
                <c:formatCode>General</c:formatCode>
                <c:ptCount val="3"/>
                <c:pt idx="0">
                  <c:v>84.533333333333346</c:v>
                </c:pt>
                <c:pt idx="1">
                  <c:v>61.475000000000009</c:v>
                </c:pt>
                <c:pt idx="2">
                  <c:v>79.849999999999994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Marathon!$C$108</c:f>
              <c:strCache>
                <c:ptCount val="1"/>
                <c:pt idx="0">
                  <c:v>Methane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Marathon!$A$109:$A$111</c:f>
              <c:numCache>
                <c:formatCode>General</c:formatCode>
                <c:ptCount val="3"/>
                <c:pt idx="0">
                  <c:v>230</c:v>
                </c:pt>
                <c:pt idx="1">
                  <c:v>250</c:v>
                </c:pt>
                <c:pt idx="2">
                  <c:v>290</c:v>
                </c:pt>
              </c:numCache>
            </c:numRef>
          </c:xVal>
          <c:yVal>
            <c:numRef>
              <c:f>Marathon!$C$109:$C$111</c:f>
              <c:numCache>
                <c:formatCode>General</c:formatCode>
                <c:ptCount val="3"/>
                <c:pt idx="0">
                  <c:v>191.33333333333334</c:v>
                </c:pt>
                <c:pt idx="1">
                  <c:v>233.13636363636363</c:v>
                </c:pt>
                <c:pt idx="2">
                  <c:v>341.03333333333336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Marathon!$D$108</c:f>
              <c:strCache>
                <c:ptCount val="1"/>
                <c:pt idx="0">
                  <c:v>Ethane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Marathon!$A$109:$A$111</c:f>
              <c:numCache>
                <c:formatCode>General</c:formatCode>
                <c:ptCount val="3"/>
                <c:pt idx="0">
                  <c:v>230</c:v>
                </c:pt>
                <c:pt idx="1">
                  <c:v>250</c:v>
                </c:pt>
                <c:pt idx="2">
                  <c:v>290</c:v>
                </c:pt>
              </c:numCache>
            </c:numRef>
          </c:xVal>
          <c:yVal>
            <c:numRef>
              <c:f>Marathon!$D$109:$D$111</c:f>
              <c:numCache>
                <c:formatCode>General</c:formatCode>
                <c:ptCount val="3"/>
                <c:pt idx="0">
                  <c:v>45.593333333333334</c:v>
                </c:pt>
                <c:pt idx="1">
                  <c:v>57.889090909090903</c:v>
                </c:pt>
                <c:pt idx="2">
                  <c:v>78.566666666666677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530368"/>
        <c:axId val="113531904"/>
      </c:scatterChart>
      <c:valAx>
        <c:axId val="113530368"/>
        <c:scaling>
          <c:orientation val="minMax"/>
          <c:max val="300"/>
          <c:min val="200"/>
        </c:scaling>
        <c:delete val="0"/>
        <c:axPos val="b"/>
        <c:numFmt formatCode="General" sourceLinked="1"/>
        <c:majorTickMark val="out"/>
        <c:minorTickMark val="none"/>
        <c:tickLblPos val="nextTo"/>
        <c:crossAx val="113531904"/>
        <c:crosses val="autoZero"/>
        <c:crossBetween val="midCat"/>
      </c:valAx>
      <c:valAx>
        <c:axId val="113531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5303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940419947506643"/>
          <c:y val="9.201662292213475E-2"/>
          <c:w val="0.17559580052493495"/>
          <c:h val="0.2511515748031495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94556110245981E-2"/>
          <c:y val="5.1400554097404488E-2"/>
          <c:w val="0.64344322024442191"/>
          <c:h val="0.8326195683872849"/>
        </c:manualLayout>
      </c:layout>
      <c:scatterChart>
        <c:scatterStyle val="lineMarker"/>
        <c:varyColors val="0"/>
        <c:ser>
          <c:idx val="3"/>
          <c:order val="0"/>
          <c:tx>
            <c:strRef>
              <c:f>Marathon!$E$108</c:f>
              <c:strCache>
                <c:ptCount val="1"/>
                <c:pt idx="0">
                  <c:v>Benzene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Marathon!$A$109:$A$111</c:f>
              <c:numCache>
                <c:formatCode>General</c:formatCode>
                <c:ptCount val="3"/>
                <c:pt idx="0">
                  <c:v>230</c:v>
                </c:pt>
                <c:pt idx="1">
                  <c:v>250</c:v>
                </c:pt>
                <c:pt idx="2">
                  <c:v>290</c:v>
                </c:pt>
              </c:numCache>
            </c:numRef>
          </c:xVal>
          <c:yVal>
            <c:numRef>
              <c:f>Marathon!$E$109:$E$111</c:f>
              <c:numCache>
                <c:formatCode>General</c:formatCode>
                <c:ptCount val="3"/>
                <c:pt idx="0">
                  <c:v>0.81025000000000003</c:v>
                </c:pt>
                <c:pt idx="1">
                  <c:v>0.8204999999999999</c:v>
                </c:pt>
                <c:pt idx="2">
                  <c:v>1.13175</c:v>
                </c:pt>
              </c:numCache>
            </c:numRef>
          </c:yVal>
          <c:smooth val="0"/>
        </c:ser>
        <c:ser>
          <c:idx val="4"/>
          <c:order val="1"/>
          <c:tx>
            <c:strRef>
              <c:f>Marathon!$F$108</c:f>
              <c:strCache>
                <c:ptCount val="1"/>
                <c:pt idx="0">
                  <c:v>Toluene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Marathon!$A$109:$A$111</c:f>
              <c:numCache>
                <c:formatCode>General</c:formatCode>
                <c:ptCount val="3"/>
                <c:pt idx="0">
                  <c:v>230</c:v>
                </c:pt>
                <c:pt idx="1">
                  <c:v>250</c:v>
                </c:pt>
                <c:pt idx="2">
                  <c:v>290</c:v>
                </c:pt>
              </c:numCache>
            </c:numRef>
          </c:xVal>
          <c:yVal>
            <c:numRef>
              <c:f>Marathon!$F$109:$F$111</c:f>
              <c:numCache>
                <c:formatCode>General</c:formatCode>
                <c:ptCount val="3"/>
                <c:pt idx="0">
                  <c:v>2.2680000000000002</c:v>
                </c:pt>
                <c:pt idx="1">
                  <c:v>2.3689999999999998</c:v>
                </c:pt>
                <c:pt idx="2">
                  <c:v>2.624166666666667</c:v>
                </c:pt>
              </c:numCache>
            </c:numRef>
          </c:yVal>
          <c:smooth val="0"/>
        </c:ser>
        <c:ser>
          <c:idx val="5"/>
          <c:order val="2"/>
          <c:tx>
            <c:strRef>
              <c:f>Marathon!$G$108</c:f>
              <c:strCache>
                <c:ptCount val="1"/>
                <c:pt idx="0">
                  <c:v>SVOC (mostly naphthalene &amp; 2-methylnaphthalene)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Marathon!$A$109:$A$111</c:f>
              <c:numCache>
                <c:formatCode>General</c:formatCode>
                <c:ptCount val="3"/>
                <c:pt idx="0">
                  <c:v>230</c:v>
                </c:pt>
                <c:pt idx="1">
                  <c:v>250</c:v>
                </c:pt>
                <c:pt idx="2">
                  <c:v>290</c:v>
                </c:pt>
              </c:numCache>
            </c:numRef>
          </c:xVal>
          <c:yVal>
            <c:numRef>
              <c:f>Marathon!$G$109:$G$111</c:f>
              <c:numCache>
                <c:formatCode>General</c:formatCode>
                <c:ptCount val="3"/>
                <c:pt idx="0">
                  <c:v>0.55000000000000004</c:v>
                </c:pt>
                <c:pt idx="1">
                  <c:v>0.98499999999999999</c:v>
                </c:pt>
                <c:pt idx="2">
                  <c:v>2.2000000000000002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566080"/>
        <c:axId val="113567616"/>
      </c:scatterChart>
      <c:valAx>
        <c:axId val="113566080"/>
        <c:scaling>
          <c:orientation val="minMax"/>
          <c:max val="300"/>
          <c:min val="200"/>
        </c:scaling>
        <c:delete val="0"/>
        <c:axPos val="b"/>
        <c:numFmt formatCode="General" sourceLinked="1"/>
        <c:majorTickMark val="out"/>
        <c:minorTickMark val="none"/>
        <c:tickLblPos val="nextTo"/>
        <c:crossAx val="113567616"/>
        <c:crosses val="autoZero"/>
        <c:crossBetween val="midCat"/>
      </c:valAx>
      <c:valAx>
        <c:axId val="113567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566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060542108761362"/>
          <c:y val="0.20660578885972591"/>
          <c:w val="0.2527278637305273"/>
          <c:h val="0.586788057742782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Marathon!$B$136</c:f>
              <c:strCache>
                <c:ptCount val="1"/>
                <c:pt idx="0">
                  <c:v>NMNE VOC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Marathon!$A$137:$A$139</c:f>
              <c:numCache>
                <c:formatCode>General</c:formatCode>
                <c:ptCount val="3"/>
                <c:pt idx="0">
                  <c:v>3.1339999999999999</c:v>
                </c:pt>
                <c:pt idx="1">
                  <c:v>2.3249999999999997</c:v>
                </c:pt>
                <c:pt idx="2">
                  <c:v>1.492</c:v>
                </c:pt>
              </c:numCache>
            </c:numRef>
          </c:xVal>
          <c:yVal>
            <c:numRef>
              <c:f>Marathon!$B$137:$B$139</c:f>
              <c:numCache>
                <c:formatCode>General</c:formatCode>
                <c:ptCount val="3"/>
                <c:pt idx="0">
                  <c:v>36.5</c:v>
                </c:pt>
                <c:pt idx="1">
                  <c:v>70.4375</c:v>
                </c:pt>
                <c:pt idx="2">
                  <c:v>112.22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Marathon!$C$136</c:f>
              <c:strCache>
                <c:ptCount val="1"/>
                <c:pt idx="0">
                  <c:v>Methane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Marathon!$A$137:$A$139</c:f>
              <c:numCache>
                <c:formatCode>General</c:formatCode>
                <c:ptCount val="3"/>
                <c:pt idx="0">
                  <c:v>3.1339999999999999</c:v>
                </c:pt>
                <c:pt idx="1">
                  <c:v>2.3249999999999997</c:v>
                </c:pt>
                <c:pt idx="2">
                  <c:v>1.492</c:v>
                </c:pt>
              </c:numCache>
            </c:numRef>
          </c:xVal>
          <c:yVal>
            <c:numRef>
              <c:f>Marathon!$C$137:$C$139</c:f>
              <c:numCache>
                <c:formatCode>General</c:formatCode>
                <c:ptCount val="3"/>
                <c:pt idx="0">
                  <c:v>160</c:v>
                </c:pt>
                <c:pt idx="1">
                  <c:v>272.09230769230766</c:v>
                </c:pt>
                <c:pt idx="2">
                  <c:v>296.60000000000002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Marathon!$D$136</c:f>
              <c:strCache>
                <c:ptCount val="1"/>
                <c:pt idx="0">
                  <c:v>Ethane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Marathon!$A$137:$A$139</c:f>
              <c:numCache>
                <c:formatCode>General</c:formatCode>
                <c:ptCount val="3"/>
                <c:pt idx="0">
                  <c:v>3.1339999999999999</c:v>
                </c:pt>
                <c:pt idx="1">
                  <c:v>2.3249999999999997</c:v>
                </c:pt>
                <c:pt idx="2">
                  <c:v>1.492</c:v>
                </c:pt>
              </c:numCache>
            </c:numRef>
          </c:xVal>
          <c:yVal>
            <c:numRef>
              <c:f>Marathon!$D$137:$D$139</c:f>
              <c:numCache>
                <c:formatCode>General</c:formatCode>
                <c:ptCount val="3"/>
                <c:pt idx="0">
                  <c:v>37.75</c:v>
                </c:pt>
                <c:pt idx="1">
                  <c:v>65.221538461538458</c:v>
                </c:pt>
                <c:pt idx="2">
                  <c:v>72.12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833856"/>
        <c:axId val="115839744"/>
      </c:scatterChart>
      <c:valAx>
        <c:axId val="115833856"/>
        <c:scaling>
          <c:orientation val="minMax"/>
          <c:min val="1"/>
        </c:scaling>
        <c:delete val="0"/>
        <c:axPos val="b"/>
        <c:numFmt formatCode="General" sourceLinked="1"/>
        <c:majorTickMark val="out"/>
        <c:minorTickMark val="none"/>
        <c:tickLblPos val="nextTo"/>
        <c:crossAx val="115839744"/>
        <c:crosses val="autoZero"/>
        <c:crossBetween val="midCat"/>
      </c:valAx>
      <c:valAx>
        <c:axId val="115839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8338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Marathon!$E$136</c:f>
              <c:strCache>
                <c:ptCount val="1"/>
                <c:pt idx="0">
                  <c:v>Benzene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Marathon!$A$137:$A$139</c:f>
              <c:numCache>
                <c:formatCode>General</c:formatCode>
                <c:ptCount val="3"/>
                <c:pt idx="0">
                  <c:v>3.1339999999999999</c:v>
                </c:pt>
                <c:pt idx="1">
                  <c:v>2.3249999999999997</c:v>
                </c:pt>
                <c:pt idx="2">
                  <c:v>1.492</c:v>
                </c:pt>
              </c:numCache>
            </c:numRef>
          </c:xVal>
          <c:yVal>
            <c:numRef>
              <c:f>Marathon!$E$137:$E$139</c:f>
              <c:numCache>
                <c:formatCode>General</c:formatCode>
                <c:ptCount val="3"/>
                <c:pt idx="0">
                  <c:v>0.61399999999999999</c:v>
                </c:pt>
                <c:pt idx="1">
                  <c:v>0.94465384615384618</c:v>
                </c:pt>
                <c:pt idx="2">
                  <c:v>0.98480000000000012</c:v>
                </c:pt>
              </c:numCache>
            </c:numRef>
          </c:yVal>
          <c:smooth val="0"/>
        </c:ser>
        <c:ser>
          <c:idx val="4"/>
          <c:order val="1"/>
          <c:tx>
            <c:strRef>
              <c:f>Marathon!$F$136</c:f>
              <c:strCache>
                <c:ptCount val="1"/>
                <c:pt idx="0">
                  <c:v>Toluene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Marathon!$A$137:$A$139</c:f>
              <c:numCache>
                <c:formatCode>General</c:formatCode>
                <c:ptCount val="3"/>
                <c:pt idx="0">
                  <c:v>3.1339999999999999</c:v>
                </c:pt>
                <c:pt idx="1">
                  <c:v>2.3249999999999997</c:v>
                </c:pt>
                <c:pt idx="2">
                  <c:v>1.492</c:v>
                </c:pt>
              </c:numCache>
            </c:numRef>
          </c:xVal>
          <c:yVal>
            <c:numRef>
              <c:f>Marathon!$F$137:$F$139</c:f>
              <c:numCache>
                <c:formatCode>General</c:formatCode>
                <c:ptCount val="3"/>
                <c:pt idx="0">
                  <c:v>2.605</c:v>
                </c:pt>
                <c:pt idx="1">
                  <c:v>2.4709999999999996</c:v>
                </c:pt>
                <c:pt idx="2">
                  <c:v>2.2078000000000002</c:v>
                </c:pt>
              </c:numCache>
            </c:numRef>
          </c:yVal>
          <c:smooth val="0"/>
        </c:ser>
        <c:ser>
          <c:idx val="5"/>
          <c:order val="2"/>
          <c:tx>
            <c:strRef>
              <c:f>Marathon!$G$136</c:f>
              <c:strCache>
                <c:ptCount val="1"/>
                <c:pt idx="0">
                  <c:v>SVOC (mostly naphthalene &amp; 2-methylnaphthalene)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Marathon!$A$137:$A$139</c:f>
              <c:numCache>
                <c:formatCode>General</c:formatCode>
                <c:ptCount val="3"/>
                <c:pt idx="0">
                  <c:v>3.1339999999999999</c:v>
                </c:pt>
                <c:pt idx="1">
                  <c:v>2.3249999999999997</c:v>
                </c:pt>
                <c:pt idx="2">
                  <c:v>1.492</c:v>
                </c:pt>
              </c:numCache>
            </c:numRef>
          </c:xVal>
          <c:yVal>
            <c:numRef>
              <c:f>Marathon!$G$137:$G$139</c:f>
              <c:numCache>
                <c:formatCode>General</c:formatCode>
                <c:ptCount val="3"/>
                <c:pt idx="0">
                  <c:v>1.05</c:v>
                </c:pt>
                <c:pt idx="1">
                  <c:v>1.1000000000000001</c:v>
                </c:pt>
                <c:pt idx="2">
                  <c:v>0.98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857280"/>
        <c:axId val="115858816"/>
      </c:scatterChart>
      <c:valAx>
        <c:axId val="115857280"/>
        <c:scaling>
          <c:orientation val="minMax"/>
          <c:min val="1"/>
        </c:scaling>
        <c:delete val="0"/>
        <c:axPos val="b"/>
        <c:numFmt formatCode="General" sourceLinked="1"/>
        <c:majorTickMark val="out"/>
        <c:minorTickMark val="none"/>
        <c:tickLblPos val="nextTo"/>
        <c:crossAx val="115858816"/>
        <c:crosses val="autoZero"/>
        <c:crossBetween val="midCat"/>
      </c:valAx>
      <c:valAx>
        <c:axId val="115858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857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FacNameIDKey!$D$26:$D$29</c:f>
              <c:numCache>
                <c:formatCode>General</c:formatCode>
                <c:ptCount val="4"/>
                <c:pt idx="0">
                  <c:v>1.7395</c:v>
                </c:pt>
                <c:pt idx="1">
                  <c:v>7.4692999999999999E-3</c:v>
                </c:pt>
                <c:pt idx="2">
                  <c:v>0.39425769230769231</c:v>
                </c:pt>
                <c:pt idx="3">
                  <c:v>0.11433333333333333</c:v>
                </c:pt>
              </c:numCache>
            </c:numRef>
          </c:xVal>
          <c:yVal>
            <c:numRef>
              <c:f>FacNameIDKey!$E$26:$E$29</c:f>
              <c:numCache>
                <c:formatCode>General</c:formatCode>
                <c:ptCount val="4"/>
                <c:pt idx="0">
                  <c:v>0.74</c:v>
                </c:pt>
                <c:pt idx="1">
                  <c:v>1.08</c:v>
                </c:pt>
                <c:pt idx="2">
                  <c:v>0.45</c:v>
                </c:pt>
                <c:pt idx="3">
                  <c:v>0.99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45504"/>
        <c:axId val="106251392"/>
      </c:scatterChart>
      <c:valAx>
        <c:axId val="10624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251392"/>
        <c:crosses val="autoZero"/>
        <c:crossBetween val="midCat"/>
      </c:valAx>
      <c:valAx>
        <c:axId val="106251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2455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FacNameIDKey!$G$26:$G$29</c:f>
              <c:numCache>
                <c:formatCode>General</c:formatCode>
                <c:ptCount val="4"/>
                <c:pt idx="0">
                  <c:v>2.9129999999999994</c:v>
                </c:pt>
                <c:pt idx="1">
                  <c:v>1.9430299999999998E-2</c:v>
                </c:pt>
                <c:pt idx="2">
                  <c:v>0.72699999999999998</c:v>
                </c:pt>
                <c:pt idx="3">
                  <c:v>0.20526666666666668</c:v>
                </c:pt>
              </c:numCache>
            </c:numRef>
          </c:xVal>
          <c:yVal>
            <c:numRef>
              <c:f>FacNameIDKey!$H$26:$H$29</c:f>
              <c:numCache>
                <c:formatCode>General</c:formatCode>
                <c:ptCount val="4"/>
                <c:pt idx="0">
                  <c:v>1.27</c:v>
                </c:pt>
                <c:pt idx="1">
                  <c:v>1.84</c:v>
                </c:pt>
                <c:pt idx="2">
                  <c:v>0.76500000000000001</c:v>
                </c:pt>
                <c:pt idx="3">
                  <c:v>1.69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66624"/>
        <c:axId val="106268160"/>
      </c:scatterChart>
      <c:valAx>
        <c:axId val="10626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268160"/>
        <c:crosses val="autoZero"/>
        <c:crossBetween val="midCat"/>
      </c:valAx>
      <c:valAx>
        <c:axId val="106268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266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FacNameIDKey!$J$26:$J$29</c:f>
              <c:numCache>
                <c:formatCode>General</c:formatCode>
                <c:ptCount val="4"/>
                <c:pt idx="0">
                  <c:v>6.6481666666666675E-2</c:v>
                </c:pt>
                <c:pt idx="1">
                  <c:v>0.88488636363636353</c:v>
                </c:pt>
                <c:pt idx="2">
                  <c:v>0.34066666666666667</c:v>
                </c:pt>
                <c:pt idx="3">
                  <c:v>0.14000000000000001</c:v>
                </c:pt>
              </c:numCache>
            </c:numRef>
          </c:xVal>
          <c:yVal>
            <c:numRef>
              <c:f>FacNameIDKey!$K$26:$K$29</c:f>
              <c:numCache>
                <c:formatCode>General</c:formatCode>
                <c:ptCount val="4"/>
                <c:pt idx="0">
                  <c:v>7.0000000000000007E-2</c:v>
                </c:pt>
                <c:pt idx="1">
                  <c:v>0.03</c:v>
                </c:pt>
                <c:pt idx="2">
                  <c:v>0.06</c:v>
                </c:pt>
                <c:pt idx="3">
                  <c:v>0.02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300160"/>
        <c:axId val="106301696"/>
      </c:scatterChart>
      <c:valAx>
        <c:axId val="10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301696"/>
        <c:crosses val="autoZero"/>
        <c:crossBetween val="midCat"/>
      </c:valAx>
      <c:valAx>
        <c:axId val="106301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300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FacNameIDKey!$M$26:$M$30</c:f>
              <c:numCache>
                <c:formatCode>General</c:formatCode>
                <c:ptCount val="5"/>
                <c:pt idx="0">
                  <c:v>15.470219430156359</c:v>
                </c:pt>
                <c:pt idx="1">
                  <c:v>0.14275666666666667</c:v>
                </c:pt>
                <c:pt idx="2">
                  <c:v>2.4050909090909092</c:v>
                </c:pt>
                <c:pt idx="3">
                  <c:v>1.3</c:v>
                </c:pt>
                <c:pt idx="4">
                  <c:v>0.39</c:v>
                </c:pt>
              </c:numCache>
            </c:numRef>
          </c:xVal>
          <c:yVal>
            <c:numRef>
              <c:f>FacNameIDKey!$N$26:$N$30</c:f>
              <c:numCache>
                <c:formatCode>General</c:formatCode>
                <c:ptCount val="5"/>
                <c:pt idx="0">
                  <c:v>2.4500000000000002</c:v>
                </c:pt>
                <c:pt idx="1">
                  <c:v>4.09</c:v>
                </c:pt>
                <c:pt idx="2">
                  <c:v>1.53</c:v>
                </c:pt>
                <c:pt idx="3">
                  <c:v>3.27</c:v>
                </c:pt>
                <c:pt idx="4">
                  <c:v>1.36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318848"/>
        <c:axId val="106337024"/>
      </c:scatterChart>
      <c:valAx>
        <c:axId val="10631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337024"/>
        <c:crosses val="autoZero"/>
        <c:crossBetween val="midCat"/>
      </c:valAx>
      <c:valAx>
        <c:axId val="106337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3188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FacNameIDKey!$V$26:$V$32</c:f>
              <c:numCache>
                <c:formatCode>General</c:formatCode>
                <c:ptCount val="7"/>
                <c:pt idx="0">
                  <c:v>180.16380513052005</c:v>
                </c:pt>
                <c:pt idx="1">
                  <c:v>11.16</c:v>
                </c:pt>
                <c:pt idx="2">
                  <c:v>1.38</c:v>
                </c:pt>
                <c:pt idx="3">
                  <c:v>86.29</c:v>
                </c:pt>
                <c:pt idx="4">
                  <c:v>73.526190476190479</c:v>
                </c:pt>
                <c:pt idx="5">
                  <c:v>41.908523146862905</c:v>
                </c:pt>
                <c:pt idx="6">
                  <c:v>5.3</c:v>
                </c:pt>
              </c:numCache>
            </c:numRef>
          </c:xVal>
          <c:yVal>
            <c:numRef>
              <c:f>FacNameIDKey!$W$26:$W$32</c:f>
              <c:numCache>
                <c:formatCode>General</c:formatCode>
                <c:ptCount val="7"/>
                <c:pt idx="0">
                  <c:v>24.97</c:v>
                </c:pt>
                <c:pt idx="1">
                  <c:v>62.42</c:v>
                </c:pt>
                <c:pt idx="2">
                  <c:v>41.61</c:v>
                </c:pt>
                <c:pt idx="3">
                  <c:v>22.7</c:v>
                </c:pt>
                <c:pt idx="4">
                  <c:v>15.6</c:v>
                </c:pt>
                <c:pt idx="5">
                  <c:v>15.045</c:v>
                </c:pt>
                <c:pt idx="6">
                  <c:v>13.87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343040"/>
        <c:axId val="106361216"/>
      </c:scatterChart>
      <c:valAx>
        <c:axId val="10634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361216"/>
        <c:crosses val="autoZero"/>
        <c:crossBetween val="midCat"/>
      </c:valAx>
      <c:valAx>
        <c:axId val="106361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3430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FacNameIDKey!$P$26:$P$28</c:f>
              <c:numCache>
                <c:formatCode>General</c:formatCode>
                <c:ptCount val="3"/>
                <c:pt idx="0">
                  <c:v>9.4166666666666669E-3</c:v>
                </c:pt>
                <c:pt idx="1">
                  <c:v>0.12066666666666666</c:v>
                </c:pt>
                <c:pt idx="2">
                  <c:v>0.05</c:v>
                </c:pt>
              </c:numCache>
            </c:numRef>
          </c:xVal>
          <c:yVal>
            <c:numRef>
              <c:f>FacNameIDKey!$Q$26:$Q$28</c:f>
              <c:numCache>
                <c:formatCode>General</c:formatCode>
                <c:ptCount val="3"/>
                <c:pt idx="0">
                  <c:v>0.02</c:v>
                </c:pt>
                <c:pt idx="1">
                  <c:v>0.02</c:v>
                </c:pt>
                <c:pt idx="2">
                  <c:v>0.01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83360"/>
        <c:axId val="109597440"/>
      </c:scatterChart>
      <c:valAx>
        <c:axId val="10958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597440"/>
        <c:crosses val="autoZero"/>
        <c:crossBetween val="midCat"/>
      </c:valAx>
      <c:valAx>
        <c:axId val="109597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583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FacNameIDKey!$S$26:$S$28</c:f>
              <c:numCache>
                <c:formatCode>General</c:formatCode>
                <c:ptCount val="3"/>
                <c:pt idx="0">
                  <c:v>9.3413333333333334E-2</c:v>
                </c:pt>
                <c:pt idx="1">
                  <c:v>0.9473666666666668</c:v>
                </c:pt>
                <c:pt idx="2">
                  <c:v>0.39</c:v>
                </c:pt>
              </c:numCache>
            </c:numRef>
          </c:xVal>
          <c:yVal>
            <c:numRef>
              <c:f>FacNameIDKey!$T$26:$T$28</c:f>
              <c:numCache>
                <c:formatCode>General</c:formatCode>
                <c:ptCount val="3"/>
                <c:pt idx="0">
                  <c:v>0.18</c:v>
                </c:pt>
                <c:pt idx="1">
                  <c:v>0.14000000000000001</c:v>
                </c:pt>
                <c:pt idx="2">
                  <c:v>0.06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04224"/>
        <c:axId val="109618304"/>
      </c:scatterChart>
      <c:valAx>
        <c:axId val="10960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618304"/>
        <c:crosses val="autoZero"/>
        <c:crossBetween val="midCat"/>
      </c:valAx>
      <c:valAx>
        <c:axId val="109618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604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Marathon!$D$66</c:f>
              <c:strCache>
                <c:ptCount val="1"/>
                <c:pt idx="0">
                  <c:v>NMNE VOC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Marathon!$B$67:$B$88</c:f>
              <c:numCache>
                <c:formatCode>General</c:formatCode>
                <c:ptCount val="22"/>
                <c:pt idx="0">
                  <c:v>3.28</c:v>
                </c:pt>
                <c:pt idx="1">
                  <c:v>2.34</c:v>
                </c:pt>
                <c:pt idx="2">
                  <c:v>3.15</c:v>
                </c:pt>
                <c:pt idx="3">
                  <c:v>3.27</c:v>
                </c:pt>
                <c:pt idx="4">
                  <c:v>2.04</c:v>
                </c:pt>
                <c:pt idx="5">
                  <c:v>2.89</c:v>
                </c:pt>
                <c:pt idx="6">
                  <c:v>1.83</c:v>
                </c:pt>
                <c:pt idx="7">
                  <c:v>2.27</c:v>
                </c:pt>
                <c:pt idx="8">
                  <c:v>2.35</c:v>
                </c:pt>
                <c:pt idx="9">
                  <c:v>2.23</c:v>
                </c:pt>
                <c:pt idx="10">
                  <c:v>2.68</c:v>
                </c:pt>
                <c:pt idx="11">
                  <c:v>2.15</c:v>
                </c:pt>
                <c:pt idx="12">
                  <c:v>3.43</c:v>
                </c:pt>
                <c:pt idx="13">
                  <c:v>1.17</c:v>
                </c:pt>
                <c:pt idx="14">
                  <c:v>2.2000000000000002</c:v>
                </c:pt>
                <c:pt idx="15">
                  <c:v>2.4300000000000002</c:v>
                </c:pt>
                <c:pt idx="16">
                  <c:v>2.09</c:v>
                </c:pt>
                <c:pt idx="17">
                  <c:v>1.8</c:v>
                </c:pt>
                <c:pt idx="18">
                  <c:v>1.1299999999999999</c:v>
                </c:pt>
                <c:pt idx="19">
                  <c:v>1.53</c:v>
                </c:pt>
                <c:pt idx="20">
                  <c:v>2.16</c:v>
                </c:pt>
                <c:pt idx="21">
                  <c:v>2.33</c:v>
                </c:pt>
              </c:numCache>
            </c:numRef>
          </c:xVal>
          <c:yVal>
            <c:numRef>
              <c:f>Marathon!$D$67:$D$88</c:f>
              <c:numCache>
                <c:formatCode>General</c:formatCode>
                <c:ptCount val="22"/>
                <c:pt idx="0">
                  <c:v>100</c:v>
                </c:pt>
                <c:pt idx="1">
                  <c:v>88.3</c:v>
                </c:pt>
                <c:pt idx="2">
                  <c:v>13.2</c:v>
                </c:pt>
                <c:pt idx="3">
                  <c:v>12.4</c:v>
                </c:pt>
                <c:pt idx="4">
                  <c:v>3.01</c:v>
                </c:pt>
                <c:pt idx="5">
                  <c:v>20.399999999999999</c:v>
                </c:pt>
                <c:pt idx="6">
                  <c:v>147</c:v>
                </c:pt>
                <c:pt idx="7">
                  <c:v>110.1</c:v>
                </c:pt>
                <c:pt idx="8">
                  <c:v>209</c:v>
                </c:pt>
                <c:pt idx="9">
                  <c:v>67.099999999999994</c:v>
                </c:pt>
                <c:pt idx="10">
                  <c:v>128</c:v>
                </c:pt>
                <c:pt idx="11">
                  <c:v>87.9</c:v>
                </c:pt>
                <c:pt idx="12">
                  <c:v>12.1</c:v>
                </c:pt>
                <c:pt idx="13">
                  <c:v>22.8</c:v>
                </c:pt>
                <c:pt idx="15">
                  <c:v>47.6</c:v>
                </c:pt>
                <c:pt idx="16">
                  <c:v>57</c:v>
                </c:pt>
                <c:pt idx="17">
                  <c:v>153</c:v>
                </c:pt>
                <c:pt idx="18">
                  <c:v>188</c:v>
                </c:pt>
                <c:pt idx="19">
                  <c:v>50.3</c:v>
                </c:pt>
                <c:pt idx="20">
                  <c:v>9.44</c:v>
                </c:pt>
                <c:pt idx="21">
                  <c:v>17.399999999999999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Marathon!$E$66</c:f>
              <c:strCache>
                <c:ptCount val="1"/>
                <c:pt idx="0">
                  <c:v>Methane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Marathon!$B$67:$B$88</c:f>
              <c:numCache>
                <c:formatCode>General</c:formatCode>
                <c:ptCount val="22"/>
                <c:pt idx="0">
                  <c:v>3.28</c:v>
                </c:pt>
                <c:pt idx="1">
                  <c:v>2.34</c:v>
                </c:pt>
                <c:pt idx="2">
                  <c:v>3.15</c:v>
                </c:pt>
                <c:pt idx="3">
                  <c:v>3.27</c:v>
                </c:pt>
                <c:pt idx="4">
                  <c:v>2.04</c:v>
                </c:pt>
                <c:pt idx="5">
                  <c:v>2.89</c:v>
                </c:pt>
                <c:pt idx="6">
                  <c:v>1.83</c:v>
                </c:pt>
                <c:pt idx="7">
                  <c:v>2.27</c:v>
                </c:pt>
                <c:pt idx="8">
                  <c:v>2.35</c:v>
                </c:pt>
                <c:pt idx="9">
                  <c:v>2.23</c:v>
                </c:pt>
                <c:pt idx="10">
                  <c:v>2.68</c:v>
                </c:pt>
                <c:pt idx="11">
                  <c:v>2.15</c:v>
                </c:pt>
                <c:pt idx="12">
                  <c:v>3.43</c:v>
                </c:pt>
                <c:pt idx="13">
                  <c:v>1.17</c:v>
                </c:pt>
                <c:pt idx="14">
                  <c:v>2.2000000000000002</c:v>
                </c:pt>
                <c:pt idx="15">
                  <c:v>2.4300000000000002</c:v>
                </c:pt>
                <c:pt idx="16">
                  <c:v>2.09</c:v>
                </c:pt>
                <c:pt idx="17">
                  <c:v>1.8</c:v>
                </c:pt>
                <c:pt idx="18">
                  <c:v>1.1299999999999999</c:v>
                </c:pt>
                <c:pt idx="19">
                  <c:v>1.53</c:v>
                </c:pt>
                <c:pt idx="20">
                  <c:v>2.16</c:v>
                </c:pt>
                <c:pt idx="21">
                  <c:v>2.33</c:v>
                </c:pt>
              </c:numCache>
            </c:numRef>
          </c:xVal>
          <c:yVal>
            <c:numRef>
              <c:f>Marathon!$E$67:$E$88</c:f>
              <c:numCache>
                <c:formatCode>General</c:formatCode>
                <c:ptCount val="22"/>
                <c:pt idx="0">
                  <c:v>306</c:v>
                </c:pt>
                <c:pt idx="1">
                  <c:v>189</c:v>
                </c:pt>
                <c:pt idx="2">
                  <c:v>76.5</c:v>
                </c:pt>
                <c:pt idx="3">
                  <c:v>48.5</c:v>
                </c:pt>
                <c:pt idx="4">
                  <c:v>23</c:v>
                </c:pt>
                <c:pt idx="5">
                  <c:v>209</c:v>
                </c:pt>
                <c:pt idx="6">
                  <c:v>219</c:v>
                </c:pt>
                <c:pt idx="7">
                  <c:v>637</c:v>
                </c:pt>
                <c:pt idx="8">
                  <c:v>150</c:v>
                </c:pt>
                <c:pt idx="9">
                  <c:v>285</c:v>
                </c:pt>
                <c:pt idx="10">
                  <c:v>270</c:v>
                </c:pt>
                <c:pt idx="11">
                  <c:v>344</c:v>
                </c:pt>
                <c:pt idx="12">
                  <c:v>10.5</c:v>
                </c:pt>
                <c:pt idx="13">
                  <c:v>198</c:v>
                </c:pt>
                <c:pt idx="14">
                  <c:v>117</c:v>
                </c:pt>
                <c:pt idx="15">
                  <c:v>59.2</c:v>
                </c:pt>
                <c:pt idx="16">
                  <c:v>297</c:v>
                </c:pt>
                <c:pt idx="17">
                  <c:v>545</c:v>
                </c:pt>
                <c:pt idx="18">
                  <c:v>303</c:v>
                </c:pt>
                <c:pt idx="19">
                  <c:v>218</c:v>
                </c:pt>
                <c:pt idx="20">
                  <c:v>234</c:v>
                </c:pt>
                <c:pt idx="21">
                  <c:v>723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Marathon!$F$66</c:f>
              <c:strCache>
                <c:ptCount val="1"/>
                <c:pt idx="0">
                  <c:v>Ethane</c:v>
                </c:pt>
              </c:strCache>
            </c:strRef>
          </c:tx>
          <c:spPr>
            <a:ln w="28575">
              <a:noFill/>
            </a:ln>
          </c:spPr>
          <c:xVal>
            <c:numRef>
              <c:f>Marathon!$B$67:$B$88</c:f>
              <c:numCache>
                <c:formatCode>General</c:formatCode>
                <c:ptCount val="22"/>
                <c:pt idx="0">
                  <c:v>3.28</c:v>
                </c:pt>
                <c:pt idx="1">
                  <c:v>2.34</c:v>
                </c:pt>
                <c:pt idx="2">
                  <c:v>3.15</c:v>
                </c:pt>
                <c:pt idx="3">
                  <c:v>3.27</c:v>
                </c:pt>
                <c:pt idx="4">
                  <c:v>2.04</c:v>
                </c:pt>
                <c:pt idx="5">
                  <c:v>2.89</c:v>
                </c:pt>
                <c:pt idx="6">
                  <c:v>1.83</c:v>
                </c:pt>
                <c:pt idx="7">
                  <c:v>2.27</c:v>
                </c:pt>
                <c:pt idx="8">
                  <c:v>2.35</c:v>
                </c:pt>
                <c:pt idx="9">
                  <c:v>2.23</c:v>
                </c:pt>
                <c:pt idx="10">
                  <c:v>2.68</c:v>
                </c:pt>
                <c:pt idx="11">
                  <c:v>2.15</c:v>
                </c:pt>
                <c:pt idx="12">
                  <c:v>3.43</c:v>
                </c:pt>
                <c:pt idx="13">
                  <c:v>1.17</c:v>
                </c:pt>
                <c:pt idx="14">
                  <c:v>2.2000000000000002</c:v>
                </c:pt>
                <c:pt idx="15">
                  <c:v>2.4300000000000002</c:v>
                </c:pt>
                <c:pt idx="16">
                  <c:v>2.09</c:v>
                </c:pt>
                <c:pt idx="17">
                  <c:v>1.8</c:v>
                </c:pt>
                <c:pt idx="18">
                  <c:v>1.1299999999999999</c:v>
                </c:pt>
                <c:pt idx="19">
                  <c:v>1.53</c:v>
                </c:pt>
                <c:pt idx="20">
                  <c:v>2.16</c:v>
                </c:pt>
                <c:pt idx="21">
                  <c:v>2.33</c:v>
                </c:pt>
              </c:numCache>
            </c:numRef>
          </c:xVal>
          <c:yVal>
            <c:numRef>
              <c:f>Marathon!$F$67:$F$88</c:f>
              <c:numCache>
                <c:formatCode>General</c:formatCode>
                <c:ptCount val="22"/>
                <c:pt idx="0">
                  <c:v>70.900000000000006</c:v>
                </c:pt>
                <c:pt idx="1">
                  <c:v>41.6</c:v>
                </c:pt>
                <c:pt idx="2">
                  <c:v>16</c:v>
                </c:pt>
                <c:pt idx="3">
                  <c:v>10.9</c:v>
                </c:pt>
                <c:pt idx="4">
                  <c:v>5.08</c:v>
                </c:pt>
                <c:pt idx="5">
                  <c:v>53.2</c:v>
                </c:pt>
                <c:pt idx="6">
                  <c:v>52.8</c:v>
                </c:pt>
                <c:pt idx="7">
                  <c:v>172</c:v>
                </c:pt>
                <c:pt idx="8">
                  <c:v>35.4</c:v>
                </c:pt>
                <c:pt idx="9">
                  <c:v>70.2</c:v>
                </c:pt>
                <c:pt idx="10">
                  <c:v>61.7</c:v>
                </c:pt>
                <c:pt idx="11">
                  <c:v>85</c:v>
                </c:pt>
                <c:pt idx="12">
                  <c:v>2.66</c:v>
                </c:pt>
                <c:pt idx="13">
                  <c:v>44.8</c:v>
                </c:pt>
                <c:pt idx="14">
                  <c:v>30.3</c:v>
                </c:pt>
                <c:pt idx="15">
                  <c:v>15.6</c:v>
                </c:pt>
                <c:pt idx="16">
                  <c:v>72.8</c:v>
                </c:pt>
                <c:pt idx="17">
                  <c:v>134</c:v>
                </c:pt>
                <c:pt idx="18">
                  <c:v>77.2</c:v>
                </c:pt>
                <c:pt idx="19">
                  <c:v>51.8</c:v>
                </c:pt>
                <c:pt idx="20">
                  <c:v>57</c:v>
                </c:pt>
                <c:pt idx="21">
                  <c:v>148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68064"/>
        <c:axId val="110887680"/>
      </c:scatterChart>
      <c:valAx>
        <c:axId val="113368064"/>
        <c:scaling>
          <c:orientation val="minMax"/>
          <c:min val="1"/>
        </c:scaling>
        <c:delete val="0"/>
        <c:axPos val="b"/>
        <c:numFmt formatCode="General" sourceLinked="1"/>
        <c:majorTickMark val="out"/>
        <c:minorTickMark val="none"/>
        <c:tickLblPos val="nextTo"/>
        <c:crossAx val="110887680"/>
        <c:crosses val="autoZero"/>
        <c:crossBetween val="midCat"/>
      </c:valAx>
      <c:valAx>
        <c:axId val="110887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368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10" Type="http://schemas.openxmlformats.org/officeDocument/2006/relationships/chart" Target="../charts/chart18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26</xdr:row>
      <xdr:rowOff>142875</xdr:rowOff>
    </xdr:from>
    <xdr:to>
      <xdr:col>21</xdr:col>
      <xdr:colOff>9525</xdr:colOff>
      <xdr:row>43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30</xdr:row>
      <xdr:rowOff>57150</xdr:rowOff>
    </xdr:from>
    <xdr:to>
      <xdr:col>4</xdr:col>
      <xdr:colOff>657225</xdr:colOff>
      <xdr:row>42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133350</xdr:colOff>
      <xdr:row>30</xdr:row>
      <xdr:rowOff>57150</xdr:rowOff>
    </xdr:from>
    <xdr:to>
      <xdr:col>8</xdr:col>
      <xdr:colOff>9525</xdr:colOff>
      <xdr:row>42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104775</xdr:colOff>
      <xdr:row>30</xdr:row>
      <xdr:rowOff>76201</xdr:rowOff>
    </xdr:from>
    <xdr:to>
      <xdr:col>11</xdr:col>
      <xdr:colOff>19050</xdr:colOff>
      <xdr:row>42</xdr:row>
      <xdr:rowOff>66676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114300</xdr:colOff>
      <xdr:row>30</xdr:row>
      <xdr:rowOff>66676</xdr:rowOff>
    </xdr:from>
    <xdr:to>
      <xdr:col>14</xdr:col>
      <xdr:colOff>57150</xdr:colOff>
      <xdr:row>42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57150</xdr:colOff>
      <xdr:row>32</xdr:row>
      <xdr:rowOff>142875</xdr:rowOff>
    </xdr:from>
    <xdr:to>
      <xdr:col>23</xdr:col>
      <xdr:colOff>38100</xdr:colOff>
      <xdr:row>43</xdr:row>
      <xdr:rowOff>66675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104776</xdr:colOff>
      <xdr:row>30</xdr:row>
      <xdr:rowOff>76200</xdr:rowOff>
    </xdr:from>
    <xdr:to>
      <xdr:col>17</xdr:col>
      <xdr:colOff>9526</xdr:colOff>
      <xdr:row>42</xdr:row>
      <xdr:rowOff>66675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38101</xdr:colOff>
      <xdr:row>30</xdr:row>
      <xdr:rowOff>66674</xdr:rowOff>
    </xdr:from>
    <xdr:to>
      <xdr:col>19</xdr:col>
      <xdr:colOff>561975</xdr:colOff>
      <xdr:row>42</xdr:row>
      <xdr:rowOff>95249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257175</xdr:colOff>
      <xdr:row>67</xdr:row>
      <xdr:rowOff>0</xdr:rowOff>
    </xdr:from>
    <xdr:to>
      <xdr:col>17</xdr:col>
      <xdr:colOff>123825</xdr:colOff>
      <xdr:row>83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76200</xdr:colOff>
      <xdr:row>67</xdr:row>
      <xdr:rowOff>57150</xdr:rowOff>
    </xdr:from>
    <xdr:to>
      <xdr:col>25</xdr:col>
      <xdr:colOff>581025</xdr:colOff>
      <xdr:row>84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133350</xdr:colOff>
      <xdr:row>84</xdr:row>
      <xdr:rowOff>47625</xdr:rowOff>
    </xdr:from>
    <xdr:to>
      <xdr:col>17</xdr:col>
      <xdr:colOff>0</xdr:colOff>
      <xdr:row>101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84</xdr:row>
      <xdr:rowOff>28575</xdr:rowOff>
    </xdr:from>
    <xdr:to>
      <xdr:col>25</xdr:col>
      <xdr:colOff>476250</xdr:colOff>
      <xdr:row>101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76200</xdr:colOff>
      <xdr:row>67</xdr:row>
      <xdr:rowOff>85725</xdr:rowOff>
    </xdr:from>
    <xdr:to>
      <xdr:col>33</xdr:col>
      <xdr:colOff>180975</xdr:colOff>
      <xdr:row>84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47625</xdr:colOff>
      <xdr:row>84</xdr:row>
      <xdr:rowOff>19050</xdr:rowOff>
    </xdr:from>
    <xdr:to>
      <xdr:col>33</xdr:col>
      <xdr:colOff>152400</xdr:colOff>
      <xdr:row>101</xdr:row>
      <xdr:rowOff>57150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447675</xdr:colOff>
      <xdr:row>112</xdr:row>
      <xdr:rowOff>38100</xdr:rowOff>
    </xdr:from>
    <xdr:to>
      <xdr:col>5</xdr:col>
      <xdr:colOff>38100</xdr:colOff>
      <xdr:row>129</xdr:row>
      <xdr:rowOff>28575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190499</xdr:colOff>
      <xdr:row>112</xdr:row>
      <xdr:rowOff>47625</xdr:rowOff>
    </xdr:from>
    <xdr:to>
      <xdr:col>13</xdr:col>
      <xdr:colOff>609599</xdr:colOff>
      <xdr:row>129</xdr:row>
      <xdr:rowOff>38100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438150</xdr:colOff>
      <xdr:row>140</xdr:row>
      <xdr:rowOff>19050</xdr:rowOff>
    </xdr:from>
    <xdr:to>
      <xdr:col>5</xdr:col>
      <xdr:colOff>28575</xdr:colOff>
      <xdr:row>157</xdr:row>
      <xdr:rowOff>9525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285750</xdr:colOff>
      <xdr:row>140</xdr:row>
      <xdr:rowOff>19050</xdr:rowOff>
    </xdr:from>
    <xdr:to>
      <xdr:col>13</xdr:col>
      <xdr:colOff>123825</xdr:colOff>
      <xdr:row>157</xdr:row>
      <xdr:rowOff>9525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ifile02\ehe\Projects\0213199-EPA_SPPD_(Opt1)\0213199.001.009-Refineries\Technical_Record\Sector_Rule\DCU_predictions_data_comparison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Missing DCU Vents"/>
      <sheetName val="Naph"/>
      <sheetName val="2-Methylnaph"/>
      <sheetName val="Benz"/>
      <sheetName val="Tol"/>
      <sheetName val="Ethylbenz"/>
      <sheetName val="Xyl"/>
      <sheetName val="NMNEVOC"/>
      <sheetName val="Methane"/>
      <sheetName val="Total_Facility_List"/>
      <sheetName val="Naphtha"/>
      <sheetName val="2-MethylNap"/>
      <sheetName val="Benzene"/>
      <sheetName val="Toluene"/>
      <sheetName val="EthylBenzene"/>
      <sheetName val="Xylene"/>
      <sheetName val="VOC"/>
      <sheetName val="N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7">
          <cell r="C7">
            <v>1.86</v>
          </cell>
          <cell r="D7">
            <v>1.24695</v>
          </cell>
        </row>
        <row r="9">
          <cell r="C9">
            <v>0.41</v>
          </cell>
          <cell r="D9">
            <v>0.3145</v>
          </cell>
        </row>
        <row r="11">
          <cell r="C11">
            <v>1.24</v>
          </cell>
          <cell r="D11">
            <v>1.5699999999999999E-2</v>
          </cell>
        </row>
        <row r="12">
          <cell r="C12">
            <v>1.24</v>
          </cell>
          <cell r="D12">
            <v>2.7199999999999998E-2</v>
          </cell>
        </row>
        <row r="13">
          <cell r="C13">
            <v>0.74</v>
          </cell>
          <cell r="D13">
            <v>0.70635000000000003</v>
          </cell>
        </row>
        <row r="39">
          <cell r="C39">
            <v>0.47</v>
          </cell>
          <cell r="D39">
            <v>0.347854</v>
          </cell>
        </row>
        <row r="40">
          <cell r="C40">
            <v>0.47</v>
          </cell>
          <cell r="D40">
            <v>0.20300000000000001</v>
          </cell>
        </row>
        <row r="51">
          <cell r="C51">
            <v>0.44</v>
          </cell>
          <cell r="D51">
            <v>0.29749999999999999</v>
          </cell>
        </row>
        <row r="52">
          <cell r="C52">
            <v>0.46</v>
          </cell>
          <cell r="D52">
            <v>0.39269999999999999</v>
          </cell>
        </row>
        <row r="61">
          <cell r="C61">
            <v>0.68</v>
          </cell>
        </row>
        <row r="64">
          <cell r="C64">
            <v>0.99</v>
          </cell>
        </row>
        <row r="67">
          <cell r="C67">
            <v>1.08</v>
          </cell>
          <cell r="D67">
            <v>0.88319999999999999</v>
          </cell>
        </row>
        <row r="76">
          <cell r="C76">
            <v>0.74</v>
          </cell>
          <cell r="D76">
            <v>0.60534600000000005</v>
          </cell>
        </row>
      </sheetData>
      <sheetData sheetId="12">
        <row r="7">
          <cell r="C7">
            <v>3.18</v>
          </cell>
          <cell r="D7">
            <v>2.1271499999999999</v>
          </cell>
        </row>
        <row r="9">
          <cell r="C9">
            <v>0.71</v>
          </cell>
          <cell r="D9">
            <v>0.53649999999999998</v>
          </cell>
        </row>
        <row r="11">
          <cell r="C11">
            <v>2.12</v>
          </cell>
        </row>
        <row r="13">
          <cell r="C13">
            <v>1.27</v>
          </cell>
          <cell r="D13">
            <v>1.20495</v>
          </cell>
        </row>
        <row r="39">
          <cell r="C39">
            <v>0.79</v>
          </cell>
        </row>
        <row r="51">
          <cell r="C51">
            <v>0.75</v>
          </cell>
          <cell r="D51">
            <v>0.50749999999999995</v>
          </cell>
        </row>
        <row r="52">
          <cell r="C52">
            <v>0.78</v>
          </cell>
          <cell r="D52">
            <v>0.66990000000000005</v>
          </cell>
        </row>
        <row r="61">
          <cell r="C61">
            <v>1.1499999999999999</v>
          </cell>
        </row>
        <row r="64">
          <cell r="C64">
            <v>1.69</v>
          </cell>
        </row>
        <row r="67">
          <cell r="C67">
            <v>1.84</v>
          </cell>
          <cell r="D67">
            <v>1.5069999999999999</v>
          </cell>
        </row>
        <row r="76">
          <cell r="C76">
            <v>1.27</v>
          </cell>
          <cell r="D76">
            <v>1.0137240000000001</v>
          </cell>
        </row>
      </sheetData>
      <sheetData sheetId="13">
        <row r="7">
          <cell r="C7">
            <v>0.11</v>
          </cell>
          <cell r="D7">
            <v>2.8202100000000001E-2</v>
          </cell>
        </row>
        <row r="9">
          <cell r="C9">
            <v>0.02</v>
          </cell>
          <cell r="D9">
            <v>1.8499999999999999E-2</v>
          </cell>
        </row>
        <row r="11">
          <cell r="C11">
            <v>7.0000000000000007E-2</v>
          </cell>
          <cell r="D11">
            <v>2.264E-3</v>
          </cell>
        </row>
        <row r="12">
          <cell r="C12">
            <v>7.0000000000000007E-2</v>
          </cell>
          <cell r="D12">
            <v>4.0000000000000001E-3</v>
          </cell>
        </row>
        <row r="13">
          <cell r="C13">
            <v>0.04</v>
          </cell>
          <cell r="D13">
            <v>1.1999999999999999E-6</v>
          </cell>
        </row>
        <row r="39">
          <cell r="C39">
            <v>0.03</v>
          </cell>
          <cell r="D39">
            <v>0.33585999999999999</v>
          </cell>
        </row>
        <row r="40">
          <cell r="C40">
            <v>0.03</v>
          </cell>
          <cell r="D40">
            <v>0.19600000000000001</v>
          </cell>
        </row>
        <row r="51">
          <cell r="C51">
            <v>0.03</v>
          </cell>
          <cell r="D51">
            <v>0.38324999999999998</v>
          </cell>
        </row>
        <row r="52">
          <cell r="C52">
            <v>0.03</v>
          </cell>
          <cell r="D52">
            <v>0.72302999999999995</v>
          </cell>
        </row>
        <row r="61">
          <cell r="C61">
            <v>0.04</v>
          </cell>
        </row>
        <row r="64">
          <cell r="C64">
            <v>0.06</v>
          </cell>
          <cell r="D64">
            <v>3.8000000000000002E-4</v>
          </cell>
        </row>
        <row r="67">
          <cell r="C67">
            <v>0.06</v>
          </cell>
          <cell r="D67">
            <v>5.1950000000000003E-2</v>
          </cell>
        </row>
        <row r="76">
          <cell r="C76">
            <v>0.04</v>
          </cell>
          <cell r="D76">
            <v>1.9066050000000001</v>
          </cell>
        </row>
      </sheetData>
      <sheetData sheetId="14">
        <row r="7">
          <cell r="C7">
            <v>6.13</v>
          </cell>
          <cell r="D7">
            <v>5.58132E-2</v>
          </cell>
        </row>
        <row r="9">
          <cell r="C9">
            <v>1.36</v>
          </cell>
          <cell r="D9">
            <v>1.036</v>
          </cell>
        </row>
        <row r="11">
          <cell r="C11">
            <v>4.09</v>
          </cell>
        </row>
        <row r="13">
          <cell r="C13">
            <v>2.4500000000000002</v>
          </cell>
          <cell r="D13">
            <v>1.1999999999999999E-6</v>
          </cell>
        </row>
        <row r="39">
          <cell r="C39">
            <v>1.53</v>
          </cell>
          <cell r="D39">
            <v>1.1737974</v>
          </cell>
        </row>
        <row r="40">
          <cell r="C40">
            <v>1.53</v>
          </cell>
          <cell r="D40">
            <v>0.68500000000000005</v>
          </cell>
        </row>
        <row r="51">
          <cell r="C51">
            <v>1.45</v>
          </cell>
          <cell r="D51">
            <v>0.8155</v>
          </cell>
        </row>
        <row r="52">
          <cell r="C52">
            <v>1.5</v>
          </cell>
          <cell r="D52">
            <v>1.5384599999999999</v>
          </cell>
        </row>
        <row r="61">
          <cell r="C61">
            <v>2.23</v>
          </cell>
        </row>
        <row r="64">
          <cell r="C64">
            <v>3.27</v>
          </cell>
          <cell r="D64">
            <v>1.9E-3</v>
          </cell>
        </row>
        <row r="67">
          <cell r="C67">
            <v>3.55</v>
          </cell>
          <cell r="D67">
            <v>2.9089999999999998</v>
          </cell>
        </row>
        <row r="76">
          <cell r="C76">
            <v>2.4500000000000002</v>
          </cell>
          <cell r="D76">
            <v>2.257215</v>
          </cell>
        </row>
      </sheetData>
      <sheetData sheetId="15">
        <row r="7">
          <cell r="C7">
            <v>0.03</v>
          </cell>
          <cell r="D7">
            <v>9.6690000000000005E-3</v>
          </cell>
        </row>
        <row r="9">
          <cell r="C9">
            <v>0.01</v>
          </cell>
          <cell r="D9">
            <v>5.5500000000000002E-3</v>
          </cell>
        </row>
        <row r="11">
          <cell r="C11">
            <v>0.02</v>
          </cell>
        </row>
        <row r="13">
          <cell r="C13">
            <v>0.01</v>
          </cell>
          <cell r="D13">
            <v>1.5999999999999999E-6</v>
          </cell>
        </row>
        <row r="39">
          <cell r="C39">
            <v>0.01</v>
          </cell>
        </row>
        <row r="51">
          <cell r="C51">
            <v>0.01</v>
          </cell>
          <cell r="D51">
            <v>7.1749999999999994E-2</v>
          </cell>
        </row>
        <row r="52">
          <cell r="C52">
            <v>0.01</v>
          </cell>
          <cell r="D52">
            <v>0.13628999999999999</v>
          </cell>
        </row>
        <row r="61">
          <cell r="C61">
            <v>0.01</v>
          </cell>
        </row>
        <row r="64">
          <cell r="C64">
            <v>0.02</v>
          </cell>
        </row>
        <row r="67">
          <cell r="C67">
            <v>0.02</v>
          </cell>
          <cell r="D67">
            <v>1.559E-2</v>
          </cell>
        </row>
      </sheetData>
      <sheetData sheetId="16">
        <row r="7">
          <cell r="C7">
            <v>0.26</v>
          </cell>
          <cell r="D7">
            <v>4.5544399999999999E-2</v>
          </cell>
        </row>
        <row r="9">
          <cell r="C9">
            <v>0.06</v>
          </cell>
          <cell r="D9">
            <v>4.4400000000000002E-2</v>
          </cell>
        </row>
        <row r="11">
          <cell r="C11">
            <v>0.18</v>
          </cell>
        </row>
        <row r="13">
          <cell r="C13">
            <v>0.11</v>
          </cell>
          <cell r="D13">
            <v>1.5999999999999999E-6</v>
          </cell>
        </row>
        <row r="39">
          <cell r="C39">
            <v>7.0000000000000007E-2</v>
          </cell>
        </row>
        <row r="51">
          <cell r="C51">
            <v>0.06</v>
          </cell>
          <cell r="D51">
            <v>0.63700000000000001</v>
          </cell>
        </row>
        <row r="52">
          <cell r="C52">
            <v>0.06</v>
          </cell>
          <cell r="D52">
            <v>1.19889</v>
          </cell>
        </row>
        <row r="61">
          <cell r="C61">
            <v>0.1</v>
          </cell>
        </row>
        <row r="64">
          <cell r="C64">
            <v>0.14000000000000001</v>
          </cell>
          <cell r="D64">
            <v>2.5000000000000001E-3</v>
          </cell>
        </row>
        <row r="67">
          <cell r="C67">
            <v>0.15</v>
          </cell>
          <cell r="D67">
            <v>0.12470000000000001</v>
          </cell>
        </row>
        <row r="76">
          <cell r="C76">
            <v>0.11</v>
          </cell>
          <cell r="D76">
            <v>2.496</v>
          </cell>
        </row>
      </sheetData>
      <sheetData sheetId="17">
        <row r="7">
          <cell r="C7">
            <v>62.42</v>
          </cell>
          <cell r="D7">
            <v>4.3672284000000001</v>
          </cell>
        </row>
        <row r="9">
          <cell r="C9">
            <v>13.87</v>
          </cell>
          <cell r="D9">
            <v>4.7084999999999999</v>
          </cell>
        </row>
        <row r="11">
          <cell r="C11">
            <v>41.61</v>
          </cell>
          <cell r="D11">
            <v>11.16555</v>
          </cell>
        </row>
        <row r="12">
          <cell r="C12">
            <v>41.61</v>
          </cell>
          <cell r="D12">
            <v>8.8562799999999999</v>
          </cell>
        </row>
        <row r="13">
          <cell r="C13">
            <v>24.97</v>
          </cell>
          <cell r="D13">
            <v>23.683500000000002</v>
          </cell>
        </row>
        <row r="39">
          <cell r="C39">
            <v>15.6</v>
          </cell>
          <cell r="D39">
            <v>47.314700000000002</v>
          </cell>
        </row>
        <row r="40">
          <cell r="C40">
            <v>15.6</v>
          </cell>
          <cell r="D40">
            <v>27.6</v>
          </cell>
        </row>
        <row r="51">
          <cell r="C51">
            <v>14.77</v>
          </cell>
          <cell r="D51">
            <v>4.1632499999999997</v>
          </cell>
        </row>
        <row r="52">
          <cell r="C52">
            <v>15.32</v>
          </cell>
          <cell r="D52">
            <v>10.228680000000001</v>
          </cell>
        </row>
        <row r="61">
          <cell r="C61">
            <v>22.7</v>
          </cell>
          <cell r="D61">
            <v>3.12</v>
          </cell>
        </row>
        <row r="64">
          <cell r="C64">
            <v>33.29</v>
          </cell>
          <cell r="D64">
            <v>1.64</v>
          </cell>
        </row>
        <row r="67">
          <cell r="C67">
            <v>36.18</v>
          </cell>
          <cell r="D67">
            <v>29.61</v>
          </cell>
        </row>
        <row r="76">
          <cell r="C76">
            <v>24.97</v>
          </cell>
          <cell r="D76">
            <v>61.9788</v>
          </cell>
        </row>
      </sheetData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135"/>
  <sheetViews>
    <sheetView tabSelected="1" zoomScale="85" zoomScaleNormal="85" workbookViewId="0">
      <selection activeCell="F21" sqref="F21"/>
    </sheetView>
  </sheetViews>
  <sheetFormatPr defaultRowHeight="12.75"/>
  <cols>
    <col min="1" max="1" width="19.28515625" customWidth="1"/>
    <col min="2" max="2" width="10" bestFit="1" customWidth="1"/>
    <col min="5" max="6" width="10.85546875" customWidth="1"/>
    <col min="7" max="7" width="12.140625" customWidth="1"/>
    <col min="8" max="10" width="10.85546875" customWidth="1"/>
    <col min="11" max="12" width="11.28515625" customWidth="1"/>
    <col min="13" max="13" width="9.85546875" customWidth="1"/>
    <col min="14" max="14" width="10" customWidth="1"/>
    <col min="16" max="16" width="9.7109375" bestFit="1" customWidth="1"/>
  </cols>
  <sheetData>
    <row r="2" spans="1:16">
      <c r="B2" s="45"/>
    </row>
    <row r="3" spans="1:16">
      <c r="B3" s="80" t="s">
        <v>427</v>
      </c>
      <c r="E3" s="45" t="s">
        <v>504</v>
      </c>
    </row>
    <row r="4" spans="1:16">
      <c r="B4" s="80" t="s">
        <v>503</v>
      </c>
      <c r="E4" s="45" t="s">
        <v>504</v>
      </c>
    </row>
    <row r="5" spans="1:16">
      <c r="B5" s="80" t="s">
        <v>502</v>
      </c>
      <c r="E5" s="45" t="s">
        <v>505</v>
      </c>
    </row>
    <row r="6" spans="1:16">
      <c r="B6" s="80" t="s">
        <v>501</v>
      </c>
      <c r="E6" s="45" t="s">
        <v>506</v>
      </c>
    </row>
    <row r="7" spans="1:16">
      <c r="B7" s="45"/>
    </row>
    <row r="8" spans="1:16">
      <c r="B8" s="45"/>
    </row>
    <row r="10" spans="1:16" ht="33.75">
      <c r="A10" s="45" t="s">
        <v>56</v>
      </c>
      <c r="B10" s="77" t="s">
        <v>416</v>
      </c>
      <c r="C10" s="77" t="s">
        <v>417</v>
      </c>
      <c r="D10" s="77" t="s">
        <v>500</v>
      </c>
      <c r="E10" s="77" t="s">
        <v>427</v>
      </c>
      <c r="F10" s="77" t="s">
        <v>503</v>
      </c>
      <c r="G10" s="77" t="s">
        <v>502</v>
      </c>
      <c r="H10" s="77" t="s">
        <v>501</v>
      </c>
      <c r="I10" s="77"/>
      <c r="J10" s="77"/>
      <c r="K10" s="77"/>
      <c r="M10" s="77" t="s">
        <v>502</v>
      </c>
      <c r="N10" s="77" t="s">
        <v>501</v>
      </c>
      <c r="P10" s="77" t="s">
        <v>533</v>
      </c>
    </row>
    <row r="11" spans="1:16">
      <c r="A11" s="45" t="s">
        <v>534</v>
      </c>
      <c r="B11" t="s">
        <v>169</v>
      </c>
      <c r="C11" s="45" t="s">
        <v>418</v>
      </c>
      <c r="D11" s="45" t="s">
        <v>453</v>
      </c>
      <c r="E11">
        <f>[1]Naphtha!$D$76</f>
        <v>0.60534600000000005</v>
      </c>
      <c r="F11">
        <f>[1]Naphtha!$C$76</f>
        <v>0.74</v>
      </c>
      <c r="G11">
        <f>Summary!B$60</f>
        <v>1.7395</v>
      </c>
      <c r="H11">
        <f>Hovensa!F95</f>
        <v>1.6638869180333914E-5</v>
      </c>
      <c r="L11" s="45" t="s">
        <v>186</v>
      </c>
      <c r="M11">
        <f>AVERAGE(G11:G22)</f>
        <v>0.74936367521367508</v>
      </c>
      <c r="N11">
        <f>AVERAGE(H11:H22)</f>
        <v>1.3583509273099935E-5</v>
      </c>
    </row>
    <row r="12" spans="1:16">
      <c r="A12" s="45" t="s">
        <v>535</v>
      </c>
      <c r="B12" s="45" t="s">
        <v>170</v>
      </c>
      <c r="C12" s="45" t="s">
        <v>492</v>
      </c>
      <c r="D12" s="45" t="s">
        <v>477</v>
      </c>
      <c r="E12">
        <f>[1]Naphtha!$D$9</f>
        <v>0.3145</v>
      </c>
      <c r="F12">
        <f>[1]Naphtha!$C$9</f>
        <v>0.41</v>
      </c>
      <c r="G12" t="str">
        <f>Summary!C$60</f>
        <v>n/a</v>
      </c>
      <c r="H12" s="45" t="s">
        <v>407</v>
      </c>
      <c r="I12" s="45"/>
      <c r="J12" s="45"/>
      <c r="L12" s="45" t="s">
        <v>188</v>
      </c>
      <c r="M12">
        <f>STDEV(G11:G22)</f>
        <v>0.86883074757563084</v>
      </c>
      <c r="N12">
        <f>STDEV(H11:H22)</f>
        <v>2.4216030903666511E-6</v>
      </c>
    </row>
    <row r="13" spans="1:16">
      <c r="B13" s="73" t="s">
        <v>171</v>
      </c>
      <c r="C13" s="74" t="s">
        <v>419</v>
      </c>
      <c r="D13" s="74" t="s">
        <v>461</v>
      </c>
      <c r="E13">
        <f>[1]Naphtha!$D$13</f>
        <v>0.70635000000000003</v>
      </c>
      <c r="F13">
        <f>[1]Naphtha!$C$13</f>
        <v>0.74</v>
      </c>
      <c r="G13" t="str">
        <f>Summary!D$60</f>
        <v>n/a</v>
      </c>
      <c r="H13" s="45" t="s">
        <v>407</v>
      </c>
      <c r="I13" s="45"/>
      <c r="J13" s="45"/>
      <c r="L13" s="45" t="s">
        <v>532</v>
      </c>
      <c r="M13">
        <f t="shared" ref="M13:N13" si="0">M12/M11</f>
        <v>1.1594246909925152</v>
      </c>
      <c r="N13">
        <f t="shared" si="0"/>
        <v>0.17827521899383292</v>
      </c>
      <c r="P13">
        <f>M13-N13</f>
        <v>0.9811494719986823</v>
      </c>
    </row>
    <row r="14" spans="1:16">
      <c r="B14" t="s">
        <v>172</v>
      </c>
      <c r="C14" s="45" t="s">
        <v>420</v>
      </c>
      <c r="D14" s="45" t="s">
        <v>465</v>
      </c>
      <c r="E14">
        <f>[1]Naphtha!$D$7</f>
        <v>1.24695</v>
      </c>
      <c r="F14">
        <f>[1]Naphtha!$C$7</f>
        <v>1.86</v>
      </c>
      <c r="G14" t="str">
        <f>Summary!E$60</f>
        <v>n/a</v>
      </c>
      <c r="H14" s="45" t="s">
        <v>407</v>
      </c>
      <c r="I14" s="45"/>
      <c r="J14" s="45"/>
      <c r="L14" s="45" t="s">
        <v>547</v>
      </c>
      <c r="M14">
        <f>MEDIAN(G11:G22)</f>
        <v>0.39425769230769231</v>
      </c>
    </row>
    <row r="15" spans="1:16">
      <c r="B15" t="s">
        <v>173</v>
      </c>
      <c r="C15" s="45" t="s">
        <v>421</v>
      </c>
      <c r="D15" s="100" t="s">
        <v>470</v>
      </c>
      <c r="E15">
        <f>AVERAGE([1]Naphtha!$D$11:$D$12)</f>
        <v>2.1449999999999997E-2</v>
      </c>
      <c r="F15">
        <f>AVERAGE([1]Naphtha!$C$11:$C$12)</f>
        <v>1.24</v>
      </c>
      <c r="G15" t="str">
        <f>Summary!F$60</f>
        <v>n/a</v>
      </c>
      <c r="H15" s="45" t="s">
        <v>407</v>
      </c>
      <c r="I15" s="45"/>
      <c r="J15" s="45"/>
    </row>
    <row r="16" spans="1:16">
      <c r="B16" t="s">
        <v>174</v>
      </c>
      <c r="C16" s="45" t="s">
        <v>422</v>
      </c>
      <c r="D16" s="45" t="s">
        <v>466</v>
      </c>
      <c r="E16" s="45" t="s">
        <v>407</v>
      </c>
      <c r="F16" s="45">
        <f>[1]Naphtha!$C$61</f>
        <v>0.68</v>
      </c>
      <c r="G16" t="str">
        <f>Summary!G$60</f>
        <v>n/a</v>
      </c>
      <c r="H16" s="45" t="s">
        <v>407</v>
      </c>
      <c r="I16" s="45"/>
      <c r="J16" s="45"/>
    </row>
    <row r="17" spans="1:16">
      <c r="B17" t="s">
        <v>398</v>
      </c>
      <c r="C17" s="45" t="s">
        <v>426</v>
      </c>
      <c r="D17" s="100" t="s">
        <v>469</v>
      </c>
      <c r="E17">
        <f>AVERAGE([1]Naphtha!$D$39:$D$40)</f>
        <v>0.27542699999999998</v>
      </c>
      <c r="F17">
        <f>AVERAGE([1]Naphtha!$C$39:$C$40)</f>
        <v>0.47</v>
      </c>
      <c r="G17" t="str">
        <f>Summary!G$60</f>
        <v>n/a</v>
      </c>
      <c r="H17" s="45" t="s">
        <v>407</v>
      </c>
      <c r="I17" s="45"/>
      <c r="J17" s="45"/>
    </row>
    <row r="18" spans="1:16" ht="15">
      <c r="B18" t="s">
        <v>399</v>
      </c>
      <c r="C18" s="45" t="s">
        <v>425</v>
      </c>
      <c r="D18" s="45" t="s">
        <v>407</v>
      </c>
      <c r="E18" s="71" t="s">
        <v>407</v>
      </c>
      <c r="F18" s="71" t="s">
        <v>407</v>
      </c>
      <c r="G18" t="str">
        <f>Summary!I$60</f>
        <v>n/a</v>
      </c>
      <c r="H18" s="45" t="s">
        <v>407</v>
      </c>
      <c r="I18" s="45"/>
      <c r="J18" s="45"/>
    </row>
    <row r="19" spans="1:16">
      <c r="B19" t="s">
        <v>400</v>
      </c>
      <c r="C19" s="45" t="s">
        <v>425</v>
      </c>
      <c r="D19" s="45" t="s">
        <v>471</v>
      </c>
      <c r="E19">
        <f>[1]Naphtha!$D$67</f>
        <v>0.88319999999999999</v>
      </c>
      <c r="F19">
        <f>[1]Naphtha!$C$67</f>
        <v>1.08</v>
      </c>
      <c r="G19" s="130" t="s">
        <v>570</v>
      </c>
      <c r="H19">
        <f>Houston2!E64</f>
        <v>1.4385121388232464E-5</v>
      </c>
    </row>
    <row r="20" spans="1:16" ht="15">
      <c r="B20" t="s">
        <v>401</v>
      </c>
      <c r="C20" s="45" t="s">
        <v>425</v>
      </c>
      <c r="D20" s="45" t="s">
        <v>407</v>
      </c>
      <c r="E20" s="71" t="s">
        <v>407</v>
      </c>
      <c r="F20" s="71" t="s">
        <v>407</v>
      </c>
      <c r="G20" t="str">
        <f>Summary!K$60</f>
        <v>n/a</v>
      </c>
      <c r="H20" s="45" t="s">
        <v>407</v>
      </c>
      <c r="I20" s="45"/>
      <c r="J20" s="45"/>
    </row>
    <row r="21" spans="1:16">
      <c r="B21" t="s">
        <v>203</v>
      </c>
      <c r="C21" s="45" t="s">
        <v>423</v>
      </c>
      <c r="D21" s="100" t="s">
        <v>476</v>
      </c>
      <c r="E21">
        <f>AVERAGE([1]Naphtha!$D$51:$D$52)</f>
        <v>0.34509999999999996</v>
      </c>
      <c r="F21">
        <f>AVERAGE([1]Naphtha!$C$51:$C$52)</f>
        <v>0.45</v>
      </c>
      <c r="G21">
        <f>Summary!L$60</f>
        <v>0.39425769230769231</v>
      </c>
      <c r="H21" s="45">
        <f>BP_Husky!B71</f>
        <v>1.1952144319148293E-5</v>
      </c>
      <c r="I21" s="45"/>
      <c r="J21" s="45"/>
    </row>
    <row r="22" spans="1:16">
      <c r="B22" t="s">
        <v>402</v>
      </c>
      <c r="C22" s="45" t="s">
        <v>424</v>
      </c>
      <c r="D22" s="45" t="s">
        <v>477</v>
      </c>
      <c r="E22" s="45" t="s">
        <v>407</v>
      </c>
      <c r="F22" s="45">
        <f>[1]Naphtha!$C$64</f>
        <v>0.99</v>
      </c>
      <c r="G22">
        <f>Summary!M$60</f>
        <v>0.11433333333333333</v>
      </c>
      <c r="H22" s="45">
        <f>ExM_Baytown!F98</f>
        <v>1.1357902204685065E-5</v>
      </c>
      <c r="I22" s="45"/>
      <c r="J22" s="45"/>
    </row>
    <row r="24" spans="1:16" ht="33.75">
      <c r="A24" s="45" t="s">
        <v>498</v>
      </c>
      <c r="B24" s="77" t="s">
        <v>416</v>
      </c>
      <c r="C24" s="77" t="s">
        <v>417</v>
      </c>
      <c r="D24" s="77" t="s">
        <v>500</v>
      </c>
      <c r="E24" s="77" t="s">
        <v>427</v>
      </c>
      <c r="F24" s="77" t="s">
        <v>503</v>
      </c>
      <c r="G24" s="77" t="s">
        <v>502</v>
      </c>
      <c r="H24" s="77" t="s">
        <v>501</v>
      </c>
      <c r="I24" s="77"/>
      <c r="J24" s="77"/>
      <c r="K24" s="77"/>
      <c r="M24" s="77" t="s">
        <v>502</v>
      </c>
      <c r="N24" s="77" t="s">
        <v>501</v>
      </c>
      <c r="P24" s="77" t="s">
        <v>533</v>
      </c>
    </row>
    <row r="25" spans="1:16">
      <c r="A25" s="45" t="s">
        <v>536</v>
      </c>
      <c r="B25" t="s">
        <v>169</v>
      </c>
      <c r="C25" s="45" t="s">
        <v>418</v>
      </c>
      <c r="D25" s="45" t="s">
        <v>453</v>
      </c>
      <c r="E25">
        <f>'[1]2-MethylNap'!$D$76</f>
        <v>1.0137240000000001</v>
      </c>
      <c r="F25">
        <f>'[1]2-MethylNap'!$C$76</f>
        <v>1.27</v>
      </c>
      <c r="G25">
        <f>Summary!B$59</f>
        <v>2.9129999999999994</v>
      </c>
      <c r="H25">
        <f>Hovensa!F94</f>
        <v>2.807419398659671E-5</v>
      </c>
      <c r="L25" s="45" t="s">
        <v>186</v>
      </c>
      <c r="M25">
        <f t="shared" ref="M25" si="1">AVERAGE(G25:G36)</f>
        <v>1.2817555555555553</v>
      </c>
      <c r="N25" s="131">
        <f>AVERAGE(H25:H36)</f>
        <v>2.7525926102455704E-5</v>
      </c>
    </row>
    <row r="26" spans="1:16">
      <c r="A26" s="45" t="s">
        <v>537</v>
      </c>
      <c r="B26" s="45" t="s">
        <v>170</v>
      </c>
      <c r="C26" s="45" t="s">
        <v>492</v>
      </c>
      <c r="D26" s="45" t="s">
        <v>477</v>
      </c>
      <c r="E26">
        <f>'[1]2-MethylNap'!$D$9</f>
        <v>0.53649999999999998</v>
      </c>
      <c r="F26">
        <f>'[1]2-MethylNap'!$C$9</f>
        <v>0.71</v>
      </c>
      <c r="G26" t="str">
        <f>Summary!C$59</f>
        <v>n/a</v>
      </c>
      <c r="H26" t="str">
        <f>Shell!B72</f>
        <v>n/a</v>
      </c>
      <c r="L26" s="45" t="s">
        <v>188</v>
      </c>
      <c r="M26">
        <f t="shared" ref="M26" si="2">STDEV(G25:G36)</f>
        <v>1.4365828364302302</v>
      </c>
      <c r="N26">
        <f t="shared" ref="N26" si="3">STDEV(H25:H36)</f>
        <v>9.0502527624419902E-6</v>
      </c>
    </row>
    <row r="27" spans="1:16">
      <c r="B27" s="73" t="s">
        <v>171</v>
      </c>
      <c r="C27" s="74" t="s">
        <v>419</v>
      </c>
      <c r="D27" s="74" t="s">
        <v>461</v>
      </c>
      <c r="E27">
        <f>'[1]2-MethylNap'!$D$13</f>
        <v>1.20495</v>
      </c>
      <c r="F27">
        <f>'[1]2-MethylNap'!$C$13</f>
        <v>1.27</v>
      </c>
      <c r="G27" t="str">
        <f>Summary!D$59</f>
        <v>n/a</v>
      </c>
      <c r="H27" t="str">
        <f>Shell!B73</f>
        <v>n/a</v>
      </c>
      <c r="L27" s="45" t="s">
        <v>532</v>
      </c>
      <c r="M27">
        <f t="shared" ref="M27" si="4">M26/M25</f>
        <v>1.1207931420336756</v>
      </c>
      <c r="N27">
        <f t="shared" ref="N27" si="5">N26/N25</f>
        <v>0.32879012785094192</v>
      </c>
      <c r="P27">
        <f>M27-N27</f>
        <v>0.79200301418273367</v>
      </c>
    </row>
    <row r="28" spans="1:16">
      <c r="B28" t="s">
        <v>172</v>
      </c>
      <c r="C28" s="45" t="s">
        <v>420</v>
      </c>
      <c r="D28" s="45" t="s">
        <v>465</v>
      </c>
      <c r="E28">
        <f>'[1]2-MethylNap'!$D$7</f>
        <v>2.1271499999999999</v>
      </c>
      <c r="F28">
        <f>'[1]2-MethylNap'!$C$7</f>
        <v>3.18</v>
      </c>
      <c r="G28" t="str">
        <f>Summary!E$59</f>
        <v>n/a</v>
      </c>
      <c r="H28" s="45" t="s">
        <v>407</v>
      </c>
      <c r="I28" s="45"/>
      <c r="J28" s="45"/>
      <c r="L28" s="45" t="s">
        <v>547</v>
      </c>
      <c r="M28">
        <f>MEDIAN(G25:G36)</f>
        <v>0.72699999999999998</v>
      </c>
    </row>
    <row r="29" spans="1:16">
      <c r="B29" t="s">
        <v>173</v>
      </c>
      <c r="C29" s="45" t="s">
        <v>421</v>
      </c>
      <c r="D29" s="100" t="s">
        <v>470</v>
      </c>
      <c r="E29" s="45" t="s">
        <v>407</v>
      </c>
      <c r="F29" s="45">
        <f>'[1]2-MethylNap'!$C$11</f>
        <v>2.12</v>
      </c>
      <c r="G29" t="str">
        <f>Summary!F$59</f>
        <v>n/a</v>
      </c>
      <c r="H29" s="45" t="s">
        <v>407</v>
      </c>
      <c r="I29" s="45"/>
      <c r="J29" s="45"/>
    </row>
    <row r="30" spans="1:16">
      <c r="B30" t="s">
        <v>174</v>
      </c>
      <c r="C30" s="45" t="s">
        <v>422</v>
      </c>
      <c r="D30" s="45" t="s">
        <v>466</v>
      </c>
      <c r="E30" s="45" t="s">
        <v>407</v>
      </c>
      <c r="F30" s="45">
        <f>'[1]2-MethylNap'!$C$61</f>
        <v>1.1499999999999999</v>
      </c>
      <c r="G30" t="str">
        <f>Summary!G$59</f>
        <v>n/a</v>
      </c>
      <c r="H30" s="45" t="s">
        <v>407</v>
      </c>
      <c r="I30" s="45"/>
      <c r="J30" s="45"/>
    </row>
    <row r="31" spans="1:16">
      <c r="B31" t="s">
        <v>398</v>
      </c>
      <c r="C31" s="45" t="s">
        <v>426</v>
      </c>
      <c r="D31" s="100" t="s">
        <v>469</v>
      </c>
      <c r="E31" s="45" t="s">
        <v>407</v>
      </c>
      <c r="F31" s="45">
        <f>'[1]2-MethylNap'!$C$39</f>
        <v>0.79</v>
      </c>
      <c r="G31" t="str">
        <f>Summary!G$60</f>
        <v>n/a</v>
      </c>
      <c r="H31" s="45" t="s">
        <v>407</v>
      </c>
      <c r="I31" s="45"/>
      <c r="J31" s="45"/>
    </row>
    <row r="32" spans="1:16" ht="15">
      <c r="B32" t="s">
        <v>399</v>
      </c>
      <c r="C32" s="45" t="s">
        <v>425</v>
      </c>
      <c r="D32" s="45" t="s">
        <v>407</v>
      </c>
      <c r="E32" s="71" t="s">
        <v>407</v>
      </c>
      <c r="F32" s="71" t="s">
        <v>407</v>
      </c>
      <c r="G32" t="str">
        <f>Summary!I$59</f>
        <v>n/a</v>
      </c>
      <c r="H32" s="45" t="s">
        <v>407</v>
      </c>
      <c r="I32" s="45"/>
      <c r="J32" s="45"/>
    </row>
    <row r="33" spans="1:16">
      <c r="B33" t="s">
        <v>400</v>
      </c>
      <c r="C33" s="45" t="s">
        <v>425</v>
      </c>
      <c r="D33" s="45" t="s">
        <v>471</v>
      </c>
      <c r="E33">
        <f>'[1]2-MethylNap'!$D$67</f>
        <v>1.5069999999999999</v>
      </c>
      <c r="F33">
        <f>'[1]2-MethylNap'!$C$67</f>
        <v>1.84</v>
      </c>
      <c r="G33" s="130" t="s">
        <v>569</v>
      </c>
      <c r="H33">
        <f>Houston2!E63</f>
        <v>4.0123523292610512E-5</v>
      </c>
    </row>
    <row r="34" spans="1:16" ht="15">
      <c r="B34" t="s">
        <v>401</v>
      </c>
      <c r="C34" s="45" t="s">
        <v>425</v>
      </c>
      <c r="D34" s="45" t="s">
        <v>407</v>
      </c>
      <c r="E34" s="71" t="s">
        <v>407</v>
      </c>
      <c r="F34" s="71" t="s">
        <v>407</v>
      </c>
      <c r="G34" t="str">
        <f>Summary!K$59</f>
        <v>n/a</v>
      </c>
      <c r="H34" s="45" t="s">
        <v>407</v>
      </c>
      <c r="I34" s="45"/>
      <c r="J34" s="45"/>
    </row>
    <row r="35" spans="1:16">
      <c r="B35" t="s">
        <v>203</v>
      </c>
      <c r="C35" s="45" t="s">
        <v>423</v>
      </c>
      <c r="D35" s="100" t="s">
        <v>476</v>
      </c>
      <c r="E35">
        <f>AVERAGE('[1]2-MethylNap'!$D$51:$D$52)</f>
        <v>0.5887</v>
      </c>
      <c r="F35">
        <f>AVERAGE('[1]2-MethylNap'!$C$51:$C$52)</f>
        <v>0.76500000000000001</v>
      </c>
      <c r="G35">
        <f>Summary!L$59</f>
        <v>0.72699999999999998</v>
      </c>
      <c r="H35" s="45">
        <f>BP_Husky!B70</f>
        <v>2.1349407665898795E-5</v>
      </c>
      <c r="I35" s="45"/>
      <c r="J35" s="45"/>
    </row>
    <row r="36" spans="1:16" ht="15">
      <c r="B36" t="s">
        <v>402</v>
      </c>
      <c r="C36" s="45" t="s">
        <v>424</v>
      </c>
      <c r="D36" s="45" t="s">
        <v>477</v>
      </c>
      <c r="E36" s="71" t="s">
        <v>407</v>
      </c>
      <c r="F36" s="71">
        <f>'[1]2-MethylNap'!$C$64</f>
        <v>1.69</v>
      </c>
      <c r="G36">
        <f>Summary!M$59</f>
        <v>0.20526666666666668</v>
      </c>
      <c r="H36" s="45">
        <f>ExM_Baytown!F97</f>
        <v>2.0556579464716808E-5</v>
      </c>
      <c r="I36" s="45"/>
      <c r="J36" s="45"/>
    </row>
    <row r="38" spans="1:16" ht="33.75">
      <c r="A38" s="45" t="s">
        <v>52</v>
      </c>
      <c r="B38" s="77" t="s">
        <v>416</v>
      </c>
      <c r="C38" s="77" t="s">
        <v>417</v>
      </c>
      <c r="D38" s="77" t="s">
        <v>500</v>
      </c>
      <c r="E38" s="77" t="s">
        <v>427</v>
      </c>
      <c r="F38" s="77" t="s">
        <v>503</v>
      </c>
      <c r="G38" s="77" t="s">
        <v>502</v>
      </c>
      <c r="H38" s="77" t="s">
        <v>501</v>
      </c>
      <c r="I38" s="77"/>
      <c r="J38" s="77"/>
      <c r="K38" s="77"/>
      <c r="M38" s="77" t="s">
        <v>502</v>
      </c>
      <c r="N38" s="77" t="s">
        <v>501</v>
      </c>
      <c r="P38" s="77" t="s">
        <v>533</v>
      </c>
    </row>
    <row r="39" spans="1:16">
      <c r="A39" s="45" t="s">
        <v>538</v>
      </c>
      <c r="B39" t="s">
        <v>169</v>
      </c>
      <c r="C39" s="45" t="s">
        <v>418</v>
      </c>
      <c r="D39" s="45" t="s">
        <v>453</v>
      </c>
      <c r="E39">
        <f>[1]Benzene!$D$76</f>
        <v>1.9066050000000001</v>
      </c>
      <c r="F39">
        <f>[1]Benzene!$C$76</f>
        <v>0.04</v>
      </c>
      <c r="G39" t="str">
        <f>Summary!G$60</f>
        <v>n/a</v>
      </c>
      <c r="H39" s="45" t="s">
        <v>407</v>
      </c>
      <c r="I39" s="45"/>
      <c r="J39" s="45"/>
      <c r="L39" s="45" t="s">
        <v>186</v>
      </c>
      <c r="M39">
        <f t="shared" ref="M39" si="6">AVERAGE(G39:G50)</f>
        <v>0.65430492424242415</v>
      </c>
      <c r="N39">
        <f t="shared" ref="N39" si="7">AVERAGE(H39:H50)</f>
        <v>3.2366965035856153E-5</v>
      </c>
    </row>
    <row r="40" spans="1:16">
      <c r="A40" s="45" t="s">
        <v>539</v>
      </c>
      <c r="B40" s="45" t="s">
        <v>170</v>
      </c>
      <c r="C40" s="45" t="s">
        <v>492</v>
      </c>
      <c r="D40" s="45" t="s">
        <v>477</v>
      </c>
      <c r="E40">
        <f>[1]Benzene!$D$9</f>
        <v>1.8499999999999999E-2</v>
      </c>
      <c r="F40">
        <f>[1]Benzene!$C$9</f>
        <v>0.02</v>
      </c>
      <c r="G40">
        <f>Summary!C$53</f>
        <v>0.14000000000000001</v>
      </c>
      <c r="H40">
        <f>Shell!B67</f>
        <v>4.5504484218104717E-5</v>
      </c>
      <c r="L40" s="45" t="s">
        <v>188</v>
      </c>
      <c r="M40">
        <f t="shared" ref="M40" si="8">STDEV(G39:G50)</f>
        <v>0.50757178908349876</v>
      </c>
      <c r="N40">
        <f t="shared" ref="N40" si="9">STDEV(H39:H50)</f>
        <v>1.4686346100072275E-5</v>
      </c>
    </row>
    <row r="41" spans="1:16">
      <c r="B41" s="73" t="s">
        <v>171</v>
      </c>
      <c r="C41" s="74" t="s">
        <v>419</v>
      </c>
      <c r="D41" s="74" t="s">
        <v>461</v>
      </c>
      <c r="E41">
        <f>[1]Benzene!$D$13</f>
        <v>1.1999999999999999E-6</v>
      </c>
      <c r="F41">
        <f>[1]Benzene!$C$13</f>
        <v>0.04</v>
      </c>
      <c r="G41" t="str">
        <f>Summary!D$53</f>
        <v>n/a</v>
      </c>
      <c r="H41" s="45" t="s">
        <v>407</v>
      </c>
      <c r="I41" s="45"/>
      <c r="J41" s="45"/>
      <c r="L41" s="45" t="s">
        <v>532</v>
      </c>
      <c r="M41">
        <f t="shared" ref="M41" si="10">M40/M39</f>
        <v>0.77574196720463651</v>
      </c>
      <c r="N41">
        <f t="shared" ref="N41" si="11">N40/N39</f>
        <v>0.45374492430176039</v>
      </c>
      <c r="P41">
        <f>M41-N41</f>
        <v>0.32199704290287612</v>
      </c>
    </row>
    <row r="42" spans="1:16">
      <c r="B42" t="s">
        <v>172</v>
      </c>
      <c r="C42" s="45" t="s">
        <v>420</v>
      </c>
      <c r="D42" s="45" t="s">
        <v>465</v>
      </c>
      <c r="E42">
        <f>[1]Benzene!$D$7</f>
        <v>2.8202100000000001E-2</v>
      </c>
      <c r="F42">
        <f>[1]Benzene!$C$7</f>
        <v>0.11</v>
      </c>
      <c r="G42" t="str">
        <f>Summary!E$53</f>
        <v>n/a</v>
      </c>
      <c r="H42" s="45" t="s">
        <v>407</v>
      </c>
      <c r="I42" s="45"/>
      <c r="J42" s="45"/>
      <c r="L42" s="45" t="s">
        <v>547</v>
      </c>
      <c r="M42">
        <f>MEDIAN(G39:G50)</f>
        <v>0.6127765151515151</v>
      </c>
    </row>
    <row r="43" spans="1:16">
      <c r="B43" t="s">
        <v>173</v>
      </c>
      <c r="C43" s="45" t="s">
        <v>421</v>
      </c>
      <c r="D43" s="100" t="s">
        <v>470</v>
      </c>
      <c r="E43">
        <f>AVERAGE([1]Benzene!$D$11:$D$12)</f>
        <v>3.1320000000000002E-3</v>
      </c>
      <c r="F43">
        <f>AVERAGE([1]Benzene!$C$11:$C$12)</f>
        <v>7.0000000000000007E-2</v>
      </c>
      <c r="G43" s="130" t="s">
        <v>568</v>
      </c>
      <c r="H43">
        <f>ExM_Torrance!B67</f>
        <v>3.7349723414690399E-5</v>
      </c>
    </row>
    <row r="44" spans="1:16" ht="15">
      <c r="B44" t="s">
        <v>174</v>
      </c>
      <c r="C44" s="45" t="s">
        <v>422</v>
      </c>
      <c r="D44" s="45" t="s">
        <v>466</v>
      </c>
      <c r="E44" s="71" t="s">
        <v>407</v>
      </c>
      <c r="F44" s="71">
        <f>[1]Benzene!$C$61</f>
        <v>0.04</v>
      </c>
      <c r="G44" t="str">
        <f>Summary!G$53</f>
        <v>n/a</v>
      </c>
      <c r="H44" s="45" t="s">
        <v>407</v>
      </c>
      <c r="I44" s="45"/>
      <c r="J44" s="45"/>
    </row>
    <row r="45" spans="1:16">
      <c r="B45" t="s">
        <v>398</v>
      </c>
      <c r="C45" s="45" t="s">
        <v>426</v>
      </c>
      <c r="D45" s="100" t="s">
        <v>469</v>
      </c>
      <c r="E45">
        <f>AVERAGE([1]Benzene!$D$39:$D$40)</f>
        <v>0.26593</v>
      </c>
      <c r="F45">
        <f>AVERAGE([1]Benzene!$C$39:$C$40)</f>
        <v>0.03</v>
      </c>
      <c r="G45">
        <f>Summary!H$53</f>
        <v>0.88488636363636353</v>
      </c>
      <c r="H45">
        <f>Marathon!AD189</f>
        <v>4.1010052639867592E-5</v>
      </c>
    </row>
    <row r="46" spans="1:16" ht="15">
      <c r="B46" t="s">
        <v>399</v>
      </c>
      <c r="C46" s="45" t="s">
        <v>425</v>
      </c>
      <c r="D46" s="45" t="s">
        <v>407</v>
      </c>
      <c r="E46" s="71" t="s">
        <v>407</v>
      </c>
      <c r="F46" s="71" t="s">
        <v>407</v>
      </c>
      <c r="G46">
        <f>Summary!I$53</f>
        <v>1.2516666666666667</v>
      </c>
      <c r="H46">
        <f>Houston1!$X$81</f>
        <v>3.214163614668723E-5</v>
      </c>
    </row>
    <row r="47" spans="1:16">
      <c r="B47" t="s">
        <v>400</v>
      </c>
      <c r="C47" s="45" t="s">
        <v>425</v>
      </c>
      <c r="D47" s="45" t="s">
        <v>471</v>
      </c>
      <c r="E47">
        <f>[1]Benzene!$D$67</f>
        <v>5.1950000000000003E-2</v>
      </c>
      <c r="F47">
        <f>[1]Benzene!$C$67</f>
        <v>0.06</v>
      </c>
      <c r="G47" s="130" t="s">
        <v>567</v>
      </c>
      <c r="H47">
        <f>Houston1!$W$81</f>
        <v>4.0292028161912214E-6</v>
      </c>
      <c r="I47" s="45"/>
      <c r="J47" s="45"/>
    </row>
    <row r="48" spans="1:16" ht="15">
      <c r="B48" t="s">
        <v>401</v>
      </c>
      <c r="C48" s="45" t="s">
        <v>425</v>
      </c>
      <c r="D48" s="45" t="s">
        <v>407</v>
      </c>
      <c r="E48" s="71" t="s">
        <v>407</v>
      </c>
      <c r="F48" s="71" t="s">
        <v>407</v>
      </c>
      <c r="H48" s="45" t="s">
        <v>407</v>
      </c>
      <c r="I48" s="45"/>
      <c r="J48" s="45"/>
    </row>
    <row r="49" spans="1:16">
      <c r="B49" t="s">
        <v>203</v>
      </c>
      <c r="C49" s="45" t="s">
        <v>423</v>
      </c>
      <c r="D49" s="100" t="s">
        <v>476</v>
      </c>
      <c r="E49">
        <f>AVERAGE([1]Benzene!$D$51:$D$52)</f>
        <v>0.55313999999999997</v>
      </c>
      <c r="F49">
        <f>AVERAGE([1]Benzene!$C$51:$C$52)</f>
        <v>0.03</v>
      </c>
      <c r="G49" t="str">
        <f>Summary!L$53</f>
        <v>n/a</v>
      </c>
      <c r="H49" s="45" t="str">
        <f>BP_Husky!B65</f>
        <v>n/a</v>
      </c>
      <c r="I49" s="45"/>
      <c r="J49" s="45"/>
    </row>
    <row r="50" spans="1:16">
      <c r="B50" t="s">
        <v>402</v>
      </c>
      <c r="C50" s="45" t="s">
        <v>424</v>
      </c>
      <c r="D50" s="45" t="s">
        <v>477</v>
      </c>
      <c r="E50">
        <f>[1]Benzene!$D$64</f>
        <v>3.8000000000000002E-4</v>
      </c>
      <c r="F50">
        <f>[1]Benzene!$C$64</f>
        <v>0.06</v>
      </c>
      <c r="G50">
        <f>Summary!M$53</f>
        <v>0.34066666666666667</v>
      </c>
      <c r="H50" s="45">
        <f>ExM_Baytown!F92</f>
        <v>3.4166690979595757E-5</v>
      </c>
      <c r="I50" s="45"/>
      <c r="J50" s="45"/>
    </row>
    <row r="52" spans="1:16" ht="33.75">
      <c r="A52" s="45" t="s">
        <v>54</v>
      </c>
      <c r="B52" s="77" t="s">
        <v>416</v>
      </c>
      <c r="C52" s="77" t="s">
        <v>417</v>
      </c>
      <c r="D52" s="77" t="s">
        <v>500</v>
      </c>
      <c r="E52" s="77" t="s">
        <v>427</v>
      </c>
      <c r="F52" s="77" t="s">
        <v>503</v>
      </c>
      <c r="G52" s="77" t="s">
        <v>502</v>
      </c>
      <c r="H52" s="77" t="s">
        <v>501</v>
      </c>
      <c r="I52" s="77"/>
      <c r="J52" s="77"/>
      <c r="K52" s="77"/>
      <c r="M52" s="77" t="s">
        <v>502</v>
      </c>
      <c r="N52" s="77" t="s">
        <v>501</v>
      </c>
      <c r="P52" s="77" t="s">
        <v>533</v>
      </c>
    </row>
    <row r="53" spans="1:16">
      <c r="A53" s="45" t="s">
        <v>541</v>
      </c>
      <c r="B53" t="s">
        <v>169</v>
      </c>
      <c r="C53" s="45" t="s">
        <v>418</v>
      </c>
      <c r="D53" s="45" t="s">
        <v>453</v>
      </c>
      <c r="E53">
        <f>[1]Toluene!$D$76</f>
        <v>2.257215</v>
      </c>
      <c r="F53">
        <f>[1]Toluene!$C$76</f>
        <v>2.4500000000000002</v>
      </c>
      <c r="G53">
        <f>Summary!B$54</f>
        <v>15.470219430156359</v>
      </c>
      <c r="H53">
        <f>Hovensa!F90</f>
        <v>1.5582977747659386E-4</v>
      </c>
      <c r="L53" s="45" t="s">
        <v>186</v>
      </c>
      <c r="M53">
        <f t="shared" ref="M53" si="12">AVERAGE(G53:G64)</f>
        <v>4.8913275848118172</v>
      </c>
      <c r="N53">
        <f t="shared" ref="N53" si="13">AVERAGE(H53:H64)</f>
        <v>1.1986006340136202E-4</v>
      </c>
    </row>
    <row r="54" spans="1:16">
      <c r="A54" s="45" t="s">
        <v>540</v>
      </c>
      <c r="B54" s="45" t="s">
        <v>170</v>
      </c>
      <c r="C54" s="45" t="s">
        <v>492</v>
      </c>
      <c r="D54" s="45" t="s">
        <v>477</v>
      </c>
      <c r="E54">
        <f>[1]Toluene!$D$9</f>
        <v>1.036</v>
      </c>
      <c r="F54">
        <f>[1]Toluene!$C$9</f>
        <v>1.36</v>
      </c>
      <c r="G54">
        <f>Summary!C$54</f>
        <v>0.39</v>
      </c>
      <c r="H54">
        <f>Shell!B68</f>
        <v>1.2676249175043455E-4</v>
      </c>
      <c r="L54" s="45" t="s">
        <v>188</v>
      </c>
      <c r="M54">
        <f t="shared" ref="M54" si="14">STDEV(G53:G64)</f>
        <v>7.1005612297060718</v>
      </c>
      <c r="N54">
        <f t="shared" ref="N54" si="15">STDEV(H53:H64)</f>
        <v>2.810978586250921E-5</v>
      </c>
    </row>
    <row r="55" spans="1:16">
      <c r="B55" s="73" t="s">
        <v>171</v>
      </c>
      <c r="C55" s="74" t="s">
        <v>419</v>
      </c>
      <c r="D55" s="74" t="s">
        <v>461</v>
      </c>
      <c r="E55">
        <f>[1]Toluene!$D$13</f>
        <v>1.1999999999999999E-6</v>
      </c>
      <c r="F55">
        <f>[1]Toluene!$C$13</f>
        <v>2.4500000000000002</v>
      </c>
      <c r="G55" t="str">
        <f>Summary!D$54</f>
        <v>n/a</v>
      </c>
      <c r="H55" s="45" t="s">
        <v>407</v>
      </c>
      <c r="I55" s="45"/>
      <c r="J55" s="45"/>
      <c r="L55" s="45" t="s">
        <v>532</v>
      </c>
      <c r="M55">
        <f t="shared" ref="M55" si="16">M54/M53</f>
        <v>1.4516633994734274</v>
      </c>
      <c r="N55">
        <f t="shared" ref="N55" si="17">N54/N53</f>
        <v>0.23452170026292332</v>
      </c>
      <c r="P55">
        <f>M55-N55</f>
        <v>1.217141699210504</v>
      </c>
    </row>
    <row r="56" spans="1:16">
      <c r="B56" t="s">
        <v>172</v>
      </c>
      <c r="C56" s="45" t="s">
        <v>420</v>
      </c>
      <c r="D56" s="45" t="s">
        <v>465</v>
      </c>
      <c r="E56">
        <f>[1]Toluene!$D$7</f>
        <v>5.58132E-2</v>
      </c>
      <c r="F56">
        <f>[1]Toluene!$C$7</f>
        <v>6.13</v>
      </c>
      <c r="G56" t="str">
        <f>Summary!E$54</f>
        <v>n/a</v>
      </c>
      <c r="H56" s="45" t="s">
        <v>407</v>
      </c>
      <c r="I56" s="45"/>
      <c r="J56" s="45"/>
      <c r="L56" s="104" t="s">
        <v>547</v>
      </c>
      <c r="M56" s="24">
        <f>MEDIAN(G53:G64)</f>
        <v>1.8525454545454547</v>
      </c>
    </row>
    <row r="57" spans="1:16" ht="15">
      <c r="B57" t="s">
        <v>173</v>
      </c>
      <c r="C57" s="45" t="s">
        <v>421</v>
      </c>
      <c r="D57" s="100" t="s">
        <v>470</v>
      </c>
      <c r="E57" s="71" t="s">
        <v>407</v>
      </c>
      <c r="F57" s="71">
        <f>[1]Toluene!$C$11</f>
        <v>4.09</v>
      </c>
      <c r="G57" s="130" t="s">
        <v>566</v>
      </c>
      <c r="H57">
        <f>ExM_Torrance!B68</f>
        <v>8.0201389088768623E-5</v>
      </c>
    </row>
    <row r="58" spans="1:16" ht="15">
      <c r="B58" t="s">
        <v>174</v>
      </c>
      <c r="C58" s="45" t="s">
        <v>422</v>
      </c>
      <c r="D58" s="45" t="s">
        <v>466</v>
      </c>
      <c r="E58" s="71" t="s">
        <v>407</v>
      </c>
      <c r="F58" s="71">
        <f>[1]Toluene!$C$61</f>
        <v>2.23</v>
      </c>
      <c r="G58" t="str">
        <f>Summary!G$54</f>
        <v>n/a</v>
      </c>
      <c r="H58" s="45" t="s">
        <v>407</v>
      </c>
      <c r="I58" s="45"/>
      <c r="J58" s="45"/>
    </row>
    <row r="59" spans="1:16">
      <c r="B59" t="s">
        <v>398</v>
      </c>
      <c r="C59" s="45" t="s">
        <v>426</v>
      </c>
      <c r="D59" s="100" t="s">
        <v>469</v>
      </c>
      <c r="E59">
        <f>AVERAGE([1]Toluene!$D$39:$D$40)</f>
        <v>0.92939870000000002</v>
      </c>
      <c r="F59">
        <f>AVERAGE([1]Toluene!$C$39:$C$40)</f>
        <v>1.53</v>
      </c>
      <c r="G59">
        <f>Summary!H$54</f>
        <v>2.4050909090909092</v>
      </c>
      <c r="H59">
        <f>Marathon!AD190</f>
        <v>1.0727146337720156E-4</v>
      </c>
    </row>
    <row r="60" spans="1:16" ht="15">
      <c r="B60" t="s">
        <v>399</v>
      </c>
      <c r="C60" s="45" t="s">
        <v>425</v>
      </c>
      <c r="D60" s="45" t="s">
        <v>407</v>
      </c>
      <c r="E60" s="71" t="s">
        <v>407</v>
      </c>
      <c r="F60" s="71" t="s">
        <v>407</v>
      </c>
      <c r="G60" t="str">
        <f>Summary!I$54</f>
        <v>n/a</v>
      </c>
      <c r="H60" s="45" t="s">
        <v>407</v>
      </c>
      <c r="I60" s="45"/>
      <c r="J60" s="45"/>
    </row>
    <row r="61" spans="1:16">
      <c r="B61" t="s">
        <v>400</v>
      </c>
      <c r="C61" s="45" t="s">
        <v>425</v>
      </c>
      <c r="D61" s="45" t="s">
        <v>471</v>
      </c>
      <c r="E61">
        <f>[1]Toluene!$D$67</f>
        <v>2.9089999999999998</v>
      </c>
      <c r="F61">
        <f>[1]Toluene!$C$67</f>
        <v>3.55</v>
      </c>
      <c r="G61" t="str">
        <f>Summary!J$54</f>
        <v>n/a</v>
      </c>
      <c r="H61" s="45" t="s">
        <v>407</v>
      </c>
      <c r="I61" s="45"/>
      <c r="J61" s="45"/>
    </row>
    <row r="62" spans="1:16" ht="15">
      <c r="B62" t="s">
        <v>401</v>
      </c>
      <c r="C62" s="45" t="s">
        <v>425</v>
      </c>
      <c r="D62" s="45" t="s">
        <v>407</v>
      </c>
      <c r="E62" s="71" t="s">
        <v>407</v>
      </c>
      <c r="F62" s="71" t="s">
        <v>407</v>
      </c>
      <c r="G62" t="str">
        <f>Summary!K$54</f>
        <v>n/a</v>
      </c>
      <c r="H62" s="45" t="s">
        <v>407</v>
      </c>
      <c r="I62" s="45"/>
      <c r="J62" s="45"/>
    </row>
    <row r="63" spans="1:16">
      <c r="B63" t="s">
        <v>203</v>
      </c>
      <c r="C63" s="45" t="s">
        <v>423</v>
      </c>
      <c r="D63" s="100" t="s">
        <v>476</v>
      </c>
      <c r="E63">
        <f>AVERAGE([1]Toluene!$D$51:$D$52)</f>
        <v>1.1769799999999999</v>
      </c>
      <c r="F63">
        <f>AVERAGE([1]Toluene!$C$51:$C$52)</f>
        <v>1.4750000000000001</v>
      </c>
      <c r="G63" t="str">
        <f>Summary!L$54</f>
        <v>n/a</v>
      </c>
      <c r="H63" s="45" t="str">
        <f>BP_Husky!B66</f>
        <v>n/a</v>
      </c>
      <c r="I63" s="45"/>
      <c r="J63" s="45"/>
    </row>
    <row r="64" spans="1:16">
      <c r="B64" t="s">
        <v>402</v>
      </c>
      <c r="C64" s="45" t="s">
        <v>424</v>
      </c>
      <c r="D64" s="45" t="s">
        <v>477</v>
      </c>
      <c r="E64">
        <f>[1]Toluene!$D$64</f>
        <v>1.9E-3</v>
      </c>
      <c r="F64">
        <f>[1]Toluene!$C$64</f>
        <v>3.27</v>
      </c>
      <c r="G64">
        <f>Summary!M$54</f>
        <v>1.3</v>
      </c>
      <c r="H64" s="45">
        <f>ExM_Baytown!F93</f>
        <v>1.292351953138116E-4</v>
      </c>
      <c r="I64" s="45"/>
      <c r="J64" s="45"/>
    </row>
    <row r="66" spans="1:16" ht="33.75">
      <c r="A66" s="45" t="s">
        <v>339</v>
      </c>
      <c r="B66" s="77" t="s">
        <v>416</v>
      </c>
      <c r="C66" s="77" t="s">
        <v>417</v>
      </c>
      <c r="D66" s="77" t="s">
        <v>500</v>
      </c>
      <c r="E66" s="77" t="s">
        <v>427</v>
      </c>
      <c r="F66" s="77" t="s">
        <v>503</v>
      </c>
      <c r="G66" s="77" t="s">
        <v>502</v>
      </c>
      <c r="H66" s="77" t="s">
        <v>501</v>
      </c>
      <c r="I66" s="77"/>
      <c r="J66" s="77"/>
      <c r="K66" s="77"/>
      <c r="M66" s="77" t="s">
        <v>502</v>
      </c>
      <c r="N66" s="77" t="s">
        <v>501</v>
      </c>
      <c r="P66" s="77" t="s">
        <v>533</v>
      </c>
    </row>
    <row r="67" spans="1:16" ht="15">
      <c r="A67" s="45" t="s">
        <v>542</v>
      </c>
      <c r="B67" t="s">
        <v>169</v>
      </c>
      <c r="C67" s="45" t="s">
        <v>418</v>
      </c>
      <c r="D67" s="45" t="s">
        <v>453</v>
      </c>
      <c r="E67" s="71" t="s">
        <v>407</v>
      </c>
      <c r="F67" s="71" t="s">
        <v>407</v>
      </c>
      <c r="G67" t="str">
        <f>Summary!B$55</f>
        <v>n/a</v>
      </c>
      <c r="H67" s="45" t="s">
        <v>407</v>
      </c>
      <c r="I67" s="45"/>
      <c r="J67" s="45"/>
      <c r="L67" s="45" t="s">
        <v>186</v>
      </c>
      <c r="M67">
        <f t="shared" ref="M67" si="18">AVERAGE(G67:G78)</f>
        <v>8.533333333333333E-2</v>
      </c>
      <c r="N67">
        <f t="shared" ref="N67" si="19">AVERAGE(H67:H78)</f>
        <v>1.0905766481074538E-5</v>
      </c>
    </row>
    <row r="68" spans="1:16">
      <c r="A68" s="45" t="s">
        <v>543</v>
      </c>
      <c r="B68" s="45" t="s">
        <v>170</v>
      </c>
      <c r="C68" s="45" t="s">
        <v>492</v>
      </c>
      <c r="D68" s="45" t="s">
        <v>477</v>
      </c>
      <c r="E68">
        <f>[1]EthylBenzene!$D$9</f>
        <v>5.5500000000000002E-3</v>
      </c>
      <c r="F68">
        <f>[1]EthylBenzene!$C$9</f>
        <v>0.01</v>
      </c>
      <c r="G68">
        <f>Summary!C$55</f>
        <v>0.05</v>
      </c>
      <c r="H68">
        <f>Shell!B69</f>
        <v>1.6251601506465968E-5</v>
      </c>
      <c r="L68" s="45" t="s">
        <v>188</v>
      </c>
      <c r="M68">
        <f t="shared" ref="M68" si="20">STDEV(G67:G78)</f>
        <v>4.996887920384932E-2</v>
      </c>
      <c r="N68">
        <f t="shared" ref="N68" si="21">STDEV(H67:H78)</f>
        <v>5.4856072855181103E-6</v>
      </c>
    </row>
    <row r="69" spans="1:16">
      <c r="B69" s="73" t="s">
        <v>171</v>
      </c>
      <c r="C69" s="74" t="s">
        <v>419</v>
      </c>
      <c r="D69" s="74" t="s">
        <v>461</v>
      </c>
      <c r="E69">
        <f>[1]EthylBenzene!$D$13</f>
        <v>1.5999999999999999E-6</v>
      </c>
      <c r="F69">
        <f>[1]EthylBenzene!$C$13</f>
        <v>0.01</v>
      </c>
      <c r="G69" t="str">
        <f>Summary!D$55</f>
        <v>n/a</v>
      </c>
      <c r="H69" s="45" t="s">
        <v>407</v>
      </c>
      <c r="I69" s="45"/>
      <c r="J69" s="45"/>
      <c r="L69" s="45" t="s">
        <v>532</v>
      </c>
      <c r="M69">
        <f t="shared" ref="M69" si="22">M68/M67</f>
        <v>0.58557280317010929</v>
      </c>
      <c r="N69">
        <f t="shared" ref="N69" si="23">N68/N67</f>
        <v>0.50300061852943845</v>
      </c>
      <c r="P69">
        <f>M69-N69</f>
        <v>8.2572184640670843E-2</v>
      </c>
    </row>
    <row r="70" spans="1:16">
      <c r="B70" t="s">
        <v>172</v>
      </c>
      <c r="C70" s="45" t="s">
        <v>420</v>
      </c>
      <c r="D70" s="45" t="s">
        <v>465</v>
      </c>
      <c r="E70">
        <f>[1]EthylBenzene!$D$7</f>
        <v>9.6690000000000005E-3</v>
      </c>
      <c r="F70">
        <f>[1]EthylBenzene!$C$7</f>
        <v>0.03</v>
      </c>
      <c r="G70" t="str">
        <f>Summary!E$55</f>
        <v>n/a</v>
      </c>
      <c r="H70" s="45" t="s">
        <v>407</v>
      </c>
      <c r="I70" s="45"/>
      <c r="J70" s="45"/>
      <c r="L70" s="45" t="s">
        <v>547</v>
      </c>
      <c r="M70">
        <f>MEDIAN(G67:G78)</f>
        <v>8.533333333333333E-2</v>
      </c>
    </row>
    <row r="71" spans="1:16" ht="15">
      <c r="B71" t="s">
        <v>173</v>
      </c>
      <c r="C71" s="45" t="s">
        <v>421</v>
      </c>
      <c r="D71" s="100" t="s">
        <v>470</v>
      </c>
      <c r="E71" s="71" t="s">
        <v>407</v>
      </c>
      <c r="F71" s="71">
        <f>[1]EthylBenzene!$C$11</f>
        <v>0.02</v>
      </c>
      <c r="G71" s="130" t="s">
        <v>565</v>
      </c>
      <c r="H71">
        <f>ExM_Torrance!B69</f>
        <v>5.2903290955652126E-6</v>
      </c>
    </row>
    <row r="72" spans="1:16" ht="15">
      <c r="B72" t="s">
        <v>174</v>
      </c>
      <c r="C72" s="45" t="s">
        <v>422</v>
      </c>
      <c r="D72" s="45" t="s">
        <v>466</v>
      </c>
      <c r="E72" s="71" t="s">
        <v>407</v>
      </c>
      <c r="F72" s="71">
        <f>[1]EthylBenzene!$C$61</f>
        <v>0.01</v>
      </c>
      <c r="G72" t="str">
        <f>Summary!G$55</f>
        <v>n/a</v>
      </c>
      <c r="H72" s="45" t="s">
        <v>407</v>
      </c>
      <c r="I72" s="45"/>
      <c r="J72" s="45"/>
    </row>
    <row r="73" spans="1:16" ht="15">
      <c r="B73" t="s">
        <v>398</v>
      </c>
      <c r="C73" s="45" t="s">
        <v>426</v>
      </c>
      <c r="D73" s="100" t="s">
        <v>469</v>
      </c>
      <c r="E73" s="71" t="s">
        <v>407</v>
      </c>
      <c r="F73" s="71">
        <f>[1]EthylBenzene!$C$39</f>
        <v>0.01</v>
      </c>
      <c r="G73" t="str">
        <f>Summary!H$55</f>
        <v>n/a</v>
      </c>
      <c r="H73" s="45" t="s">
        <v>407</v>
      </c>
      <c r="I73" s="45"/>
      <c r="J73" s="45"/>
    </row>
    <row r="74" spans="1:16" ht="15">
      <c r="B74" t="s">
        <v>399</v>
      </c>
      <c r="C74" s="45" t="s">
        <v>425</v>
      </c>
      <c r="D74" s="45" t="s">
        <v>407</v>
      </c>
      <c r="E74" s="71" t="s">
        <v>407</v>
      </c>
      <c r="F74" s="71" t="s">
        <v>407</v>
      </c>
      <c r="G74" t="str">
        <f>Summary!I$55</f>
        <v>n/a</v>
      </c>
      <c r="H74" s="45" t="s">
        <v>407</v>
      </c>
      <c r="I74" s="45"/>
      <c r="J74" s="45"/>
    </row>
    <row r="75" spans="1:16">
      <c r="B75" t="s">
        <v>400</v>
      </c>
      <c r="C75" s="45" t="s">
        <v>425</v>
      </c>
      <c r="D75" s="45" t="s">
        <v>471</v>
      </c>
      <c r="E75">
        <f>[1]EthylBenzene!$D$67</f>
        <v>1.559E-2</v>
      </c>
      <c r="F75">
        <f>[1]EthylBenzene!$C$67</f>
        <v>0.02</v>
      </c>
      <c r="G75" t="str">
        <f>Summary!K$44</f>
        <v>n/a</v>
      </c>
      <c r="H75" s="45" t="s">
        <v>407</v>
      </c>
      <c r="I75" s="45"/>
      <c r="J75" s="45"/>
    </row>
    <row r="76" spans="1:16" ht="15">
      <c r="B76" t="s">
        <v>401</v>
      </c>
      <c r="C76" s="45" t="s">
        <v>425</v>
      </c>
      <c r="D76" s="45" t="s">
        <v>407</v>
      </c>
      <c r="E76" s="71" t="s">
        <v>407</v>
      </c>
      <c r="F76" s="71" t="s">
        <v>407</v>
      </c>
      <c r="G76" t="str">
        <f>Summary!K$55</f>
        <v>n/a</v>
      </c>
      <c r="H76" s="45" t="s">
        <v>407</v>
      </c>
      <c r="I76" s="45"/>
      <c r="J76" s="45"/>
    </row>
    <row r="77" spans="1:16">
      <c r="B77" t="s">
        <v>203</v>
      </c>
      <c r="C77" s="45" t="s">
        <v>423</v>
      </c>
      <c r="D77" s="100" t="s">
        <v>476</v>
      </c>
      <c r="E77">
        <f>AVERAGE([1]EthylBenzene!$D$51:$D$52)</f>
        <v>0.10402</v>
      </c>
      <c r="F77">
        <f>AVERAGE([1]EthylBenzene!$C$51:$C$52)</f>
        <v>0.01</v>
      </c>
      <c r="G77" t="str">
        <f>Summary!L$55</f>
        <v>n/a</v>
      </c>
      <c r="H77" s="45" t="str">
        <f>BP_Husky!B67</f>
        <v>n/a</v>
      </c>
      <c r="I77" s="45"/>
      <c r="J77" s="45"/>
    </row>
    <row r="78" spans="1:16" ht="15">
      <c r="B78" t="s">
        <v>402</v>
      </c>
      <c r="C78" s="45" t="s">
        <v>424</v>
      </c>
      <c r="D78" s="45" t="s">
        <v>477</v>
      </c>
      <c r="E78" s="71" t="s">
        <v>407</v>
      </c>
      <c r="F78" s="71">
        <f>[1]EthylBenzene!$C$64</f>
        <v>0.02</v>
      </c>
      <c r="G78">
        <f>Summary!M$55</f>
        <v>0.12066666666666666</v>
      </c>
      <c r="H78" s="45">
        <f>ExM_Baytown!F94</f>
        <v>1.117536884119243E-5</v>
      </c>
      <c r="I78" s="45"/>
      <c r="J78" s="45"/>
    </row>
    <row r="80" spans="1:16" ht="33.75">
      <c r="A80" s="45" t="s">
        <v>167</v>
      </c>
      <c r="B80" s="77" t="s">
        <v>416</v>
      </c>
      <c r="C80" s="77" t="s">
        <v>417</v>
      </c>
      <c r="D80" s="77" t="s">
        <v>500</v>
      </c>
      <c r="E80" s="77" t="s">
        <v>427</v>
      </c>
      <c r="F80" s="77" t="s">
        <v>503</v>
      </c>
      <c r="G80" s="77" t="s">
        <v>502</v>
      </c>
      <c r="H80" s="77" t="s">
        <v>501</v>
      </c>
      <c r="I80" s="77"/>
      <c r="J80" s="77"/>
      <c r="K80" s="77"/>
      <c r="M80" s="77" t="s">
        <v>502</v>
      </c>
      <c r="N80" s="77" t="s">
        <v>501</v>
      </c>
      <c r="P80" s="77" t="s">
        <v>533</v>
      </c>
    </row>
    <row r="81" spans="1:16">
      <c r="A81" s="45" t="s">
        <v>542</v>
      </c>
      <c r="B81" t="s">
        <v>169</v>
      </c>
      <c r="C81" s="45" t="s">
        <v>418</v>
      </c>
      <c r="D81" s="45" t="s">
        <v>453</v>
      </c>
      <c r="E81">
        <f>[1]Xylene!$D$76</f>
        <v>2.496</v>
      </c>
      <c r="F81">
        <f>[1]Xylene!$C$76</f>
        <v>0.11</v>
      </c>
      <c r="G81" t="str">
        <f>Summary!B$56</f>
        <v>n/a</v>
      </c>
      <c r="H81" s="45" t="s">
        <v>407</v>
      </c>
      <c r="I81" s="45"/>
      <c r="J81" s="45"/>
      <c r="L81" s="45" t="s">
        <v>186</v>
      </c>
      <c r="M81">
        <f t="shared" ref="M81" si="24">AVERAGE(G81:G92)</f>
        <v>0.66868333333333341</v>
      </c>
      <c r="N81">
        <f t="shared" ref="N81" si="25">AVERAGE(H81:H92)</f>
        <v>8.9368898968525965E-5</v>
      </c>
    </row>
    <row r="82" spans="1:16">
      <c r="A82" s="45" t="s">
        <v>544</v>
      </c>
      <c r="B82" s="45" t="s">
        <v>170</v>
      </c>
      <c r="C82" s="45" t="s">
        <v>492</v>
      </c>
      <c r="D82" s="45" t="s">
        <v>477</v>
      </c>
      <c r="E82">
        <f>[1]Xylene!$D$9</f>
        <v>4.4400000000000002E-2</v>
      </c>
      <c r="F82">
        <f>[1]Xylene!$C$9</f>
        <v>0.06</v>
      </c>
      <c r="G82">
        <f>Summary!C$56</f>
        <v>0.39</v>
      </c>
      <c r="H82">
        <f>Shell!B70</f>
        <v>1.2676249175043455E-4</v>
      </c>
      <c r="L82" s="45" t="s">
        <v>188</v>
      </c>
      <c r="M82">
        <f t="shared" ref="M82" si="26">STDEV(G81:G92)</f>
        <v>0.39411774960734214</v>
      </c>
      <c r="N82">
        <f t="shared" ref="N82" si="27">STDEV(H81:H92)</f>
        <v>3.7143785894989338E-5</v>
      </c>
    </row>
    <row r="83" spans="1:16">
      <c r="B83" s="73" t="s">
        <v>171</v>
      </c>
      <c r="C83" s="74" t="s">
        <v>419</v>
      </c>
      <c r="D83" s="74" t="s">
        <v>461</v>
      </c>
      <c r="E83">
        <f>[1]Xylene!$D$13</f>
        <v>1.5999999999999999E-6</v>
      </c>
      <c r="F83">
        <f>[1]Xylene!$C$13</f>
        <v>0.11</v>
      </c>
      <c r="G83" t="str">
        <f>Summary!D$56</f>
        <v>n/a</v>
      </c>
      <c r="H83" s="45" t="s">
        <v>407</v>
      </c>
      <c r="I83" s="45"/>
      <c r="J83" s="45"/>
      <c r="L83" s="45" t="s">
        <v>532</v>
      </c>
      <c r="M83">
        <f t="shared" ref="M83" si="28">M82/M81</f>
        <v>0.58939370844297312</v>
      </c>
      <c r="N83">
        <f t="shared" ref="N83" si="29">N82/N81</f>
        <v>0.41562317902194001</v>
      </c>
      <c r="P83">
        <f>M83-N83</f>
        <v>0.1737705294210331</v>
      </c>
    </row>
    <row r="84" spans="1:16">
      <c r="B84" t="s">
        <v>172</v>
      </c>
      <c r="C84" s="45" t="s">
        <v>420</v>
      </c>
      <c r="D84" s="45" t="s">
        <v>465</v>
      </c>
      <c r="E84">
        <f>[1]Xylene!$D$7</f>
        <v>4.5544399999999999E-2</v>
      </c>
      <c r="F84">
        <f>[1]Xylene!$C$7</f>
        <v>0.26</v>
      </c>
      <c r="G84" t="str">
        <f>Summary!E$56</f>
        <v>n/a</v>
      </c>
      <c r="H84" s="45" t="s">
        <v>407</v>
      </c>
      <c r="I84" s="45"/>
      <c r="J84" s="45"/>
      <c r="L84" s="45" t="s">
        <v>547</v>
      </c>
      <c r="M84">
        <f>MEDIAN(G81:G92)</f>
        <v>0.66868333333333341</v>
      </c>
    </row>
    <row r="85" spans="1:16" ht="15">
      <c r="B85" t="s">
        <v>173</v>
      </c>
      <c r="C85" s="45" t="s">
        <v>421</v>
      </c>
      <c r="D85" s="100" t="s">
        <v>470</v>
      </c>
      <c r="E85" s="71" t="s">
        <v>407</v>
      </c>
      <c r="F85" s="71">
        <f>[1]Xylene!$C$11</f>
        <v>0.18</v>
      </c>
      <c r="G85" s="130" t="s">
        <v>564</v>
      </c>
      <c r="H85">
        <f>ExM_Torrance!B70</f>
        <v>5.2480064628006904E-5</v>
      </c>
    </row>
    <row r="86" spans="1:16" ht="15">
      <c r="B86" t="s">
        <v>174</v>
      </c>
      <c r="C86" s="45" t="s">
        <v>422</v>
      </c>
      <c r="D86" s="45" t="s">
        <v>466</v>
      </c>
      <c r="E86" s="71" t="s">
        <v>407</v>
      </c>
      <c r="F86" s="71">
        <f>[1]Xylene!$C$61</f>
        <v>0.1</v>
      </c>
      <c r="G86" t="str">
        <f>Summary!G$56</f>
        <v>n/a</v>
      </c>
      <c r="H86" s="45" t="s">
        <v>407</v>
      </c>
      <c r="I86" s="45"/>
      <c r="J86" s="45"/>
    </row>
    <row r="87" spans="1:16" ht="15">
      <c r="B87" t="s">
        <v>398</v>
      </c>
      <c r="C87" s="45" t="s">
        <v>426</v>
      </c>
      <c r="D87" s="100" t="s">
        <v>469</v>
      </c>
      <c r="E87" s="71" t="s">
        <v>407</v>
      </c>
      <c r="F87" s="71">
        <f>[1]Xylene!$C$39</f>
        <v>7.0000000000000007E-2</v>
      </c>
      <c r="G87" t="str">
        <f>Summary!H$56</f>
        <v>n/a</v>
      </c>
      <c r="H87" s="45" t="s">
        <v>407</v>
      </c>
      <c r="I87" s="45"/>
      <c r="J87" s="45"/>
    </row>
    <row r="88" spans="1:16" ht="15">
      <c r="B88" t="s">
        <v>399</v>
      </c>
      <c r="C88" s="45" t="s">
        <v>425</v>
      </c>
      <c r="D88" s="45" t="s">
        <v>407</v>
      </c>
      <c r="E88" s="71" t="s">
        <v>407</v>
      </c>
      <c r="F88" s="71" t="s">
        <v>407</v>
      </c>
      <c r="G88" t="str">
        <f>Summary!I$56</f>
        <v>n/a</v>
      </c>
      <c r="H88" s="45" t="s">
        <v>407</v>
      </c>
      <c r="I88" s="45"/>
      <c r="J88" s="45"/>
    </row>
    <row r="89" spans="1:16">
      <c r="B89" t="s">
        <v>400</v>
      </c>
      <c r="C89" s="45" t="s">
        <v>425</v>
      </c>
      <c r="D89" s="45" t="s">
        <v>471</v>
      </c>
      <c r="E89">
        <f>[1]Xylene!$D$67</f>
        <v>0.12470000000000001</v>
      </c>
      <c r="F89">
        <f>[1]Xylene!$C$67</f>
        <v>0.15</v>
      </c>
      <c r="G89" t="str">
        <f>Summary!K$45</f>
        <v>n/a</v>
      </c>
      <c r="H89" s="45" t="s">
        <v>407</v>
      </c>
      <c r="I89" s="45"/>
      <c r="J89" s="45"/>
    </row>
    <row r="90" spans="1:16" ht="15">
      <c r="B90" t="s">
        <v>401</v>
      </c>
      <c r="C90" s="45" t="s">
        <v>425</v>
      </c>
      <c r="D90" s="45" t="s">
        <v>407</v>
      </c>
      <c r="E90" s="71" t="s">
        <v>407</v>
      </c>
      <c r="F90" s="71" t="s">
        <v>407</v>
      </c>
      <c r="G90" t="str">
        <f>Summary!K$56</f>
        <v>n/a</v>
      </c>
      <c r="H90" s="45" t="s">
        <v>407</v>
      </c>
      <c r="I90" s="45"/>
      <c r="J90" s="45"/>
    </row>
    <row r="91" spans="1:16">
      <c r="B91" t="s">
        <v>203</v>
      </c>
      <c r="C91" s="45" t="s">
        <v>423</v>
      </c>
      <c r="D91" s="100" t="s">
        <v>476</v>
      </c>
      <c r="E91">
        <f>AVERAGE([1]Xylene!$D$51:$D$52)</f>
        <v>0.91794500000000001</v>
      </c>
      <c r="F91">
        <f>AVERAGE([1]Xylene!$C$51:$C$52)</f>
        <v>0.06</v>
      </c>
      <c r="G91" t="str">
        <f>Summary!L$56</f>
        <v>n/a</v>
      </c>
      <c r="H91" s="45" t="str">
        <f>BP_Husky!B68</f>
        <v>n/a</v>
      </c>
      <c r="I91" s="45"/>
      <c r="J91" s="45"/>
    </row>
    <row r="92" spans="1:16">
      <c r="B92" t="s">
        <v>402</v>
      </c>
      <c r="C92" s="45" t="s">
        <v>424</v>
      </c>
      <c r="D92" s="45" t="s">
        <v>477</v>
      </c>
      <c r="E92">
        <f>[1]Xylene!$D$64</f>
        <v>2.5000000000000001E-3</v>
      </c>
      <c r="F92">
        <f>[1]Xylene!$C$64</f>
        <v>0.14000000000000001</v>
      </c>
      <c r="G92">
        <f>Summary!M$56</f>
        <v>0.9473666666666668</v>
      </c>
      <c r="H92" s="45">
        <f>ExM_Baytown!F95</f>
        <v>8.8864140527136458E-5</v>
      </c>
      <c r="I92" s="45"/>
      <c r="J92" s="45"/>
    </row>
    <row r="94" spans="1:16" ht="33.75">
      <c r="A94" s="45" t="s">
        <v>499</v>
      </c>
      <c r="B94" s="77" t="s">
        <v>416</v>
      </c>
      <c r="C94" s="77" t="s">
        <v>417</v>
      </c>
      <c r="D94" s="77" t="s">
        <v>500</v>
      </c>
      <c r="E94" s="77" t="s">
        <v>427</v>
      </c>
      <c r="F94" s="77" t="s">
        <v>503</v>
      </c>
      <c r="G94" s="77" t="s">
        <v>502</v>
      </c>
      <c r="H94" s="77" t="s">
        <v>501</v>
      </c>
      <c r="I94" s="77"/>
      <c r="J94" s="77"/>
      <c r="K94" s="77"/>
      <c r="M94" s="77" t="s">
        <v>502</v>
      </c>
      <c r="N94" s="77" t="s">
        <v>501</v>
      </c>
      <c r="P94" s="77" t="s">
        <v>533</v>
      </c>
    </row>
    <row r="95" spans="1:16">
      <c r="B95" t="s">
        <v>169</v>
      </c>
      <c r="C95" s="45" t="s">
        <v>418</v>
      </c>
      <c r="D95" s="45" t="s">
        <v>453</v>
      </c>
      <c r="E95">
        <f>[1]VOC!$D$76</f>
        <v>61.9788</v>
      </c>
      <c r="F95">
        <f>[1]VOC!$C$76</f>
        <v>24.97</v>
      </c>
      <c r="G95">
        <f>Summary!B$52</f>
        <v>180.16380513052005</v>
      </c>
      <c r="H95">
        <f>Hovensa!F88</f>
        <v>1.8561980142970296E-3</v>
      </c>
      <c r="L95" s="45" t="s">
        <v>186</v>
      </c>
      <c r="M95">
        <f t="shared" ref="M95" si="30">AVERAGE(G95:G106)</f>
        <v>55.369294010863349</v>
      </c>
      <c r="N95">
        <f t="shared" ref="N95" si="31">AVERAGE(H95:H106)</f>
        <v>1.6780883647041344E-3</v>
      </c>
    </row>
    <row r="96" spans="1:16">
      <c r="B96" s="45" t="s">
        <v>170</v>
      </c>
      <c r="C96" s="45" t="s">
        <v>492</v>
      </c>
      <c r="D96" s="45" t="s">
        <v>477</v>
      </c>
      <c r="E96">
        <f>[1]VOC!$D$9</f>
        <v>4.7084999999999999</v>
      </c>
      <c r="F96">
        <f>[1]VOC!$C$9</f>
        <v>13.87</v>
      </c>
      <c r="G96">
        <f>Summary!C$52</f>
        <v>5.3</v>
      </c>
      <c r="H96">
        <f>Shell!B66</f>
        <v>1.7226697596853925E-3</v>
      </c>
      <c r="L96" s="45" t="s">
        <v>188</v>
      </c>
      <c r="M96">
        <f t="shared" ref="M96" si="32">STDEV(G95:G106)</f>
        <v>58.186811147581096</v>
      </c>
      <c r="N96">
        <f t="shared" ref="N96" si="33">STDEV(H95:H106)</f>
        <v>1.3244037347264629E-3</v>
      </c>
    </row>
    <row r="97" spans="1:16">
      <c r="B97" s="73" t="s">
        <v>171</v>
      </c>
      <c r="C97" s="74" t="s">
        <v>419</v>
      </c>
      <c r="D97" s="74" t="s">
        <v>461</v>
      </c>
      <c r="E97">
        <f>[1]VOC!$D$13</f>
        <v>23.683500000000002</v>
      </c>
      <c r="F97">
        <f>[1]VOC!$C$13</f>
        <v>24.97</v>
      </c>
      <c r="G97" t="str">
        <f>Summary!D$52</f>
        <v>n/a</v>
      </c>
      <c r="H97" s="45" t="s">
        <v>407</v>
      </c>
      <c r="I97" s="45"/>
      <c r="J97" s="45"/>
      <c r="L97" s="45" t="s">
        <v>532</v>
      </c>
      <c r="M97">
        <f t="shared" ref="M97" si="34">M96/M95</f>
        <v>1.0508859140621327</v>
      </c>
      <c r="N97">
        <f t="shared" ref="N97" si="35">N96/N95</f>
        <v>0.78923360806447751</v>
      </c>
      <c r="P97">
        <f>M97-N97</f>
        <v>0.26165230599765521</v>
      </c>
    </row>
    <row r="98" spans="1:16">
      <c r="B98" t="s">
        <v>172</v>
      </c>
      <c r="C98" s="45" t="s">
        <v>420</v>
      </c>
      <c r="D98" s="45" t="s">
        <v>465</v>
      </c>
      <c r="E98">
        <f>[1]VOC!$D$7</f>
        <v>4.3672284000000001</v>
      </c>
      <c r="F98">
        <f>[1]VOC!$C$7</f>
        <v>62.42</v>
      </c>
      <c r="G98">
        <f>Summary!E$52</f>
        <v>11.16</v>
      </c>
      <c r="H98">
        <f>Chevron!B66</f>
        <v>6.5170428900006782E-4</v>
      </c>
      <c r="L98" s="45" t="s">
        <v>547</v>
      </c>
      <c r="M98">
        <f>MEDIAN(G95:G106)</f>
        <v>33.285928240098123</v>
      </c>
    </row>
    <row r="99" spans="1:16">
      <c r="B99" t="s">
        <v>173</v>
      </c>
      <c r="C99" s="45" t="s">
        <v>421</v>
      </c>
      <c r="D99" s="100" t="s">
        <v>470</v>
      </c>
      <c r="E99">
        <f>AVERAGE([1]VOC!$D$11:$D$12)</f>
        <v>10.010915000000001</v>
      </c>
      <c r="F99">
        <f>AVERAGE([1]VOC!$C$11:$C$12)</f>
        <v>41.61</v>
      </c>
      <c r="G99" s="130" t="s">
        <v>562</v>
      </c>
      <c r="H99">
        <f>ExM_Torrance!B66</f>
        <v>7.7529070639433548E-4</v>
      </c>
    </row>
    <row r="100" spans="1:16">
      <c r="B100" t="s">
        <v>174</v>
      </c>
      <c r="C100" s="45" t="s">
        <v>422</v>
      </c>
      <c r="D100" s="45" t="s">
        <v>466</v>
      </c>
      <c r="E100">
        <f>[1]VOC!$D$61</f>
        <v>3.12</v>
      </c>
      <c r="F100">
        <f>[1]VOC!$C$61</f>
        <v>22.7</v>
      </c>
      <c r="G100">
        <f>Summary!G$52</f>
        <v>86.29</v>
      </c>
      <c r="H100" s="45">
        <f>Citgo!D37</f>
        <v>4.4297335524075632E-3</v>
      </c>
      <c r="I100" s="45"/>
      <c r="J100" s="45"/>
    </row>
    <row r="101" spans="1:16">
      <c r="B101" t="s">
        <v>398</v>
      </c>
      <c r="C101" s="45" t="s">
        <v>426</v>
      </c>
      <c r="D101" s="100" t="s">
        <v>469</v>
      </c>
      <c r="E101">
        <f>AVERAGE([1]VOC!$D$39:$D$40)</f>
        <v>37.457350000000005</v>
      </c>
      <c r="F101">
        <f>AVERAGE([1]VOC!$C$39:$C$40)</f>
        <v>15.6</v>
      </c>
      <c r="G101">
        <f>Summary!H$52</f>
        <v>73.526190476190479</v>
      </c>
      <c r="H101">
        <f>Marathon!AD188</f>
        <v>3.0935064158374779E-3</v>
      </c>
    </row>
    <row r="102" spans="1:16" ht="15">
      <c r="B102" t="s">
        <v>399</v>
      </c>
      <c r="C102" s="45" t="s">
        <v>425</v>
      </c>
      <c r="D102" s="45" t="s">
        <v>407</v>
      </c>
      <c r="E102" s="71" t="s">
        <v>407</v>
      </c>
      <c r="F102" s="71" t="s">
        <v>407</v>
      </c>
      <c r="G102">
        <f>Summary!I$52</f>
        <v>19.942499999999999</v>
      </c>
      <c r="H102">
        <f>Houston1!X$80</f>
        <v>5.2055058199718997E-4</v>
      </c>
    </row>
    <row r="103" spans="1:16">
      <c r="B103" t="s">
        <v>400</v>
      </c>
      <c r="C103" s="45" t="s">
        <v>425</v>
      </c>
      <c r="D103" s="45" t="s">
        <v>471</v>
      </c>
      <c r="E103">
        <f>[1]VOC!$D$67</f>
        <v>29.61</v>
      </c>
      <c r="F103">
        <f>[1]VOC!$C$67</f>
        <v>36.18</v>
      </c>
      <c r="G103" s="130" t="s">
        <v>563</v>
      </c>
      <c r="H103">
        <f>Houston1!W$80</f>
        <v>1.5410736141958584E-4</v>
      </c>
      <c r="I103" s="45"/>
      <c r="J103" s="45"/>
    </row>
    <row r="104" spans="1:16" ht="15">
      <c r="B104" t="s">
        <v>401</v>
      </c>
      <c r="C104" s="45" t="s">
        <v>425</v>
      </c>
      <c r="D104" s="45" t="s">
        <v>407</v>
      </c>
      <c r="E104" s="71" t="s">
        <v>407</v>
      </c>
      <c r="F104" s="71" t="s">
        <v>407</v>
      </c>
      <c r="H104" s="45" t="s">
        <v>407</v>
      </c>
      <c r="I104" s="45"/>
      <c r="J104" s="45"/>
    </row>
    <row r="105" spans="1:16">
      <c r="B105" t="s">
        <v>203</v>
      </c>
      <c r="C105" s="45" t="s">
        <v>423</v>
      </c>
      <c r="D105" s="100" t="s">
        <v>476</v>
      </c>
      <c r="E105">
        <f>AVERAGE([1]VOC!$D$51:$D$52)</f>
        <v>7.1959650000000002</v>
      </c>
      <c r="F105">
        <f>AVERAGE([1]VOC!$C$51:$C$52)</f>
        <v>15.045</v>
      </c>
      <c r="G105">
        <f>Summary!L$52</f>
        <v>41.908523146862905</v>
      </c>
      <c r="H105" s="45">
        <f>BP_Husky!B64</f>
        <v>1.2307044640139369E-3</v>
      </c>
      <c r="I105" s="45"/>
      <c r="J105" s="45"/>
    </row>
    <row r="106" spans="1:16">
      <c r="B106" t="s">
        <v>402</v>
      </c>
      <c r="C106" s="45" t="s">
        <v>424</v>
      </c>
      <c r="D106" s="45" t="s">
        <v>477</v>
      </c>
      <c r="E106">
        <f>[1]VOC!$D$64</f>
        <v>1.64</v>
      </c>
      <c r="F106">
        <f>[1]VOC!$C$64</f>
        <v>33.29</v>
      </c>
      <c r="G106" s="14">
        <f>ExM_Baytown!F35</f>
        <v>24.663333333333338</v>
      </c>
      <c r="H106" s="45">
        <f>ExM_Baytown!F91</f>
        <v>2.3464185019887642E-3</v>
      </c>
      <c r="I106" s="45"/>
      <c r="J106" s="45"/>
    </row>
    <row r="108" spans="1:16" ht="33.75">
      <c r="A108" s="45" t="s">
        <v>145</v>
      </c>
      <c r="B108" s="77" t="s">
        <v>416</v>
      </c>
      <c r="C108" s="77" t="s">
        <v>417</v>
      </c>
      <c r="D108" s="77" t="s">
        <v>500</v>
      </c>
      <c r="E108" s="77" t="s">
        <v>427</v>
      </c>
      <c r="F108" s="77" t="s">
        <v>503</v>
      </c>
      <c r="G108" s="77" t="s">
        <v>502</v>
      </c>
      <c r="H108" s="77" t="s">
        <v>501</v>
      </c>
      <c r="I108" s="77"/>
      <c r="J108" s="77"/>
      <c r="M108" s="77" t="s">
        <v>502</v>
      </c>
      <c r="N108" s="77" t="s">
        <v>501</v>
      </c>
      <c r="P108" s="77" t="s">
        <v>533</v>
      </c>
    </row>
    <row r="109" spans="1:16">
      <c r="A109" s="45" t="s">
        <v>545</v>
      </c>
      <c r="B109" t="s">
        <v>169</v>
      </c>
      <c r="C109" s="45" t="s">
        <v>418</v>
      </c>
      <c r="D109" s="45" t="s">
        <v>453</v>
      </c>
      <c r="G109">
        <f>Summary!B$50</f>
        <v>799.85793750774008</v>
      </c>
      <c r="H109">
        <f>Hovensa!F86</f>
        <v>7.7499784435732738E-3</v>
      </c>
      <c r="I109" s="14">
        <f>H109*1000</f>
        <v>7.7499784435732737</v>
      </c>
      <c r="L109" s="45" t="s">
        <v>186</v>
      </c>
      <c r="M109">
        <f t="shared" ref="M109" si="36">AVERAGE(G109:G120)</f>
        <v>247.81971715082003</v>
      </c>
      <c r="N109">
        <f t="shared" ref="N109" si="37">AVERAGE(H109:H120)</f>
        <v>7.9028457228738254E-3</v>
      </c>
    </row>
    <row r="110" spans="1:16">
      <c r="A110" s="45" t="s">
        <v>546</v>
      </c>
      <c r="B110" s="45" t="s">
        <v>170</v>
      </c>
      <c r="C110" s="45" t="s">
        <v>492</v>
      </c>
      <c r="D110" s="45" t="s">
        <v>477</v>
      </c>
      <c r="G110">
        <f>Summary!C$50</f>
        <v>33.9</v>
      </c>
      <c r="H110">
        <f>Shell!B64</f>
        <v>1.1018585821383925E-2</v>
      </c>
      <c r="I110" s="14">
        <f t="shared" ref="I110:I120" si="38">H110*1000</f>
        <v>11.018585821383926</v>
      </c>
      <c r="L110" s="45" t="s">
        <v>188</v>
      </c>
      <c r="M110">
        <f t="shared" ref="M110" si="39">STDEV(G109:G120)</f>
        <v>256.98464200610658</v>
      </c>
      <c r="N110">
        <f t="shared" ref="N110" si="40">STDEV(H109:H120)</f>
        <v>2.8194554897152399E-3</v>
      </c>
    </row>
    <row r="111" spans="1:16">
      <c r="B111" s="73" t="s">
        <v>171</v>
      </c>
      <c r="C111" s="74" t="s">
        <v>419</v>
      </c>
      <c r="D111" s="74" t="s">
        <v>461</v>
      </c>
      <c r="G111" t="str">
        <f>Summary!D$50</f>
        <v>n/a</v>
      </c>
      <c r="H111" t="str">
        <f>ConocoPhillips!B64</f>
        <v>n/a</v>
      </c>
      <c r="I111" s="14" t="e">
        <f t="shared" si="38"/>
        <v>#VALUE!</v>
      </c>
      <c r="L111" s="45" t="s">
        <v>532</v>
      </c>
      <c r="M111">
        <f t="shared" ref="M111" si="41">M110/M109</f>
        <v>1.036982226275841</v>
      </c>
      <c r="N111">
        <f t="shared" ref="N111" si="42">N110/N109</f>
        <v>0.35676458690755775</v>
      </c>
      <c r="P111">
        <f>M111-N111</f>
        <v>0.68021763936828328</v>
      </c>
    </row>
    <row r="112" spans="1:16">
      <c r="A112">
        <v>3</v>
      </c>
      <c r="B112" t="s">
        <v>172</v>
      </c>
      <c r="C112" s="45" t="s">
        <v>420</v>
      </c>
      <c r="D112" s="45" t="s">
        <v>465</v>
      </c>
      <c r="G112">
        <f>Summary!E$50</f>
        <v>66.960000000000008</v>
      </c>
      <c r="H112">
        <f>Chevron!B64</f>
        <v>3.910225734000408E-3</v>
      </c>
      <c r="I112" s="14">
        <f t="shared" si="38"/>
        <v>3.9102257340004081</v>
      </c>
      <c r="L112" s="45" t="s">
        <v>547</v>
      </c>
      <c r="M112">
        <f>MEDIAN(G109:G120)</f>
        <v>161.77954545454543</v>
      </c>
    </row>
    <row r="113" spans="1:16">
      <c r="A113">
        <v>4</v>
      </c>
      <c r="B113" t="s">
        <v>173</v>
      </c>
      <c r="C113" s="45" t="s">
        <v>421</v>
      </c>
      <c r="D113" s="100" t="s">
        <v>470</v>
      </c>
      <c r="G113" s="130" t="s">
        <v>560</v>
      </c>
      <c r="H113">
        <f>ExM_Torrance!B64</f>
        <v>7.1123184360778711E-3</v>
      </c>
      <c r="I113" s="14">
        <f t="shared" si="38"/>
        <v>7.1123184360778708</v>
      </c>
    </row>
    <row r="114" spans="1:16">
      <c r="A114">
        <v>5</v>
      </c>
      <c r="B114" t="s">
        <v>174</v>
      </c>
      <c r="C114" s="45" t="s">
        <v>422</v>
      </c>
      <c r="D114" s="45" t="s">
        <v>466</v>
      </c>
      <c r="G114">
        <f>Summary!G$50</f>
        <v>73.299042123062705</v>
      </c>
      <c r="H114" s="45">
        <f>Citgo!D35</f>
        <v>4.5106491825288569E-3</v>
      </c>
      <c r="I114" s="14">
        <f t="shared" si="38"/>
        <v>4.5106491825288568</v>
      </c>
      <c r="J114" s="45"/>
    </row>
    <row r="115" spans="1:16">
      <c r="A115">
        <v>6</v>
      </c>
      <c r="B115" t="s">
        <v>398</v>
      </c>
      <c r="C115" s="45" t="s">
        <v>426</v>
      </c>
      <c r="D115" s="100" t="s">
        <v>469</v>
      </c>
      <c r="G115">
        <f>Summary!H$50</f>
        <v>248.2590909090909</v>
      </c>
      <c r="H115">
        <f>Marathon!AD186</f>
        <v>1.2749702235116888E-2</v>
      </c>
      <c r="I115" s="14">
        <f t="shared" si="38"/>
        <v>12.749702235116887</v>
      </c>
    </row>
    <row r="116" spans="1:16">
      <c r="A116">
        <v>7</v>
      </c>
      <c r="B116" t="s">
        <v>399</v>
      </c>
      <c r="C116" s="45" t="s">
        <v>425</v>
      </c>
      <c r="D116" s="45">
        <v>737</v>
      </c>
      <c r="G116">
        <f>Summary!I$50</f>
        <v>363.98166666666663</v>
      </c>
      <c r="H116">
        <f>Houston1!X78</f>
        <v>9.429510174834517E-3</v>
      </c>
      <c r="I116" s="14">
        <f t="shared" si="38"/>
        <v>9.4295101748345171</v>
      </c>
    </row>
    <row r="117" spans="1:16">
      <c r="A117">
        <v>8</v>
      </c>
      <c r="B117" t="s">
        <v>400</v>
      </c>
      <c r="C117" s="45" t="s">
        <v>425</v>
      </c>
      <c r="D117" s="45">
        <v>736</v>
      </c>
      <c r="G117" s="130" t="s">
        <v>561</v>
      </c>
      <c r="H117">
        <f>(Houston2!E55+2*Houston1!W78)/3</f>
        <v>5.5626796819774234E-3</v>
      </c>
      <c r="I117" s="14">
        <f t="shared" si="38"/>
        <v>5.5626796819774231</v>
      </c>
    </row>
    <row r="118" spans="1:16">
      <c r="B118" t="s">
        <v>401</v>
      </c>
      <c r="C118" s="45" t="s">
        <v>425</v>
      </c>
      <c r="D118" s="45" t="s">
        <v>407</v>
      </c>
      <c r="H118" s="45" t="s">
        <v>407</v>
      </c>
      <c r="I118" s="14" t="e">
        <f t="shared" si="38"/>
        <v>#VALUE!</v>
      </c>
      <c r="J118" s="45"/>
    </row>
    <row r="119" spans="1:16">
      <c r="A119">
        <v>9</v>
      </c>
      <c r="B119" t="s">
        <v>203</v>
      </c>
      <c r="C119" s="45" t="s">
        <v>423</v>
      </c>
      <c r="D119" s="100" t="s">
        <v>476</v>
      </c>
      <c r="G119">
        <f>Summary!L$50</f>
        <v>321</v>
      </c>
      <c r="H119" s="45">
        <f>BP_Husky!B62</f>
        <v>9.4266297947090977E-3</v>
      </c>
      <c r="I119" s="14">
        <f t="shared" si="38"/>
        <v>9.4266297947090969</v>
      </c>
      <c r="J119" s="45"/>
    </row>
    <row r="120" spans="1:16">
      <c r="A120">
        <v>10</v>
      </c>
      <c r="B120" t="s">
        <v>402</v>
      </c>
      <c r="C120" s="45" t="s">
        <v>424</v>
      </c>
      <c r="D120" s="45" t="s">
        <v>477</v>
      </c>
      <c r="G120">
        <f>Summary!M50</f>
        <v>75.3</v>
      </c>
      <c r="H120" s="45">
        <f>ExM_Baytown!F89</f>
        <v>7.5581777245359791E-3</v>
      </c>
      <c r="I120" s="14">
        <f t="shared" si="38"/>
        <v>7.5581777245359794</v>
      </c>
      <c r="J120" s="45"/>
    </row>
    <row r="123" spans="1:16" ht="33.75">
      <c r="A123" s="45" t="s">
        <v>146</v>
      </c>
      <c r="B123" s="77" t="s">
        <v>416</v>
      </c>
      <c r="C123" s="77" t="s">
        <v>417</v>
      </c>
      <c r="D123" s="77" t="s">
        <v>500</v>
      </c>
      <c r="E123" s="77" t="s">
        <v>427</v>
      </c>
      <c r="F123" s="77" t="s">
        <v>503</v>
      </c>
      <c r="G123" s="77" t="s">
        <v>502</v>
      </c>
      <c r="H123" s="77" t="s">
        <v>501</v>
      </c>
      <c r="I123" s="77"/>
      <c r="J123" s="77"/>
      <c r="M123" s="77" t="s">
        <v>502</v>
      </c>
      <c r="N123" s="77" t="s">
        <v>501</v>
      </c>
      <c r="P123" s="77" t="s">
        <v>533</v>
      </c>
    </row>
    <row r="124" spans="1:16">
      <c r="A124" s="45" t="s">
        <v>571</v>
      </c>
      <c r="B124" t="s">
        <v>169</v>
      </c>
      <c r="C124" s="45" t="s">
        <v>418</v>
      </c>
      <c r="D124" s="45" t="s">
        <v>453</v>
      </c>
      <c r="G124">
        <f>Summary!B$51</f>
        <v>169.4997906009099</v>
      </c>
      <c r="H124">
        <f>Hovensa!F87</f>
        <v>1.6504668838591833E-3</v>
      </c>
      <c r="I124" s="14">
        <f>H124*1000</f>
        <v>1.6504668838591834</v>
      </c>
      <c r="L124" s="45" t="s">
        <v>186</v>
      </c>
      <c r="M124">
        <f t="shared" ref="M124" si="43">AVERAGE(G124:G135)</f>
        <v>53.073546130351964</v>
      </c>
      <c r="N124">
        <f t="shared" ref="N124" si="44">AVERAGE(H124:H135)</f>
        <v>1.707425463476208E-3</v>
      </c>
    </row>
    <row r="125" spans="1:16">
      <c r="A125" s="45" t="s">
        <v>572</v>
      </c>
      <c r="B125" s="45" t="s">
        <v>170</v>
      </c>
      <c r="C125" s="45" t="s">
        <v>492</v>
      </c>
      <c r="D125" s="45" t="s">
        <v>477</v>
      </c>
      <c r="G125">
        <f>Summary!C$51</f>
        <v>7.59</v>
      </c>
      <c r="H125">
        <f>Shell!B65</f>
        <v>2.466993108681534E-3</v>
      </c>
      <c r="I125" s="14">
        <f t="shared" ref="I125:I135" si="45">H125*1000</f>
        <v>2.466993108681534</v>
      </c>
      <c r="L125" s="45" t="s">
        <v>188</v>
      </c>
      <c r="M125">
        <f t="shared" ref="M125" si="46">STDEV(G124:G135)</f>
        <v>53.555917442348765</v>
      </c>
      <c r="N125">
        <f t="shared" ref="N125" si="47">STDEV(H124:H135)</f>
        <v>7.1204930855677494E-4</v>
      </c>
    </row>
    <row r="126" spans="1:16">
      <c r="B126" s="73" t="s">
        <v>171</v>
      </c>
      <c r="C126" s="74" t="s">
        <v>419</v>
      </c>
      <c r="D126" s="74" t="s">
        <v>461</v>
      </c>
      <c r="G126" t="str">
        <f>Summary!D$51</f>
        <v>n/a</v>
      </c>
      <c r="H126" t="str">
        <f>ConocoPhillips!B65</f>
        <v>n/a</v>
      </c>
      <c r="I126" s="14" t="e">
        <f t="shared" si="45"/>
        <v>#VALUE!</v>
      </c>
      <c r="L126" s="45" t="s">
        <v>532</v>
      </c>
      <c r="M126">
        <f t="shared" ref="M126:N126" si="48">M125/M124</f>
        <v>1.0090887334117842</v>
      </c>
      <c r="N126">
        <f t="shared" si="48"/>
        <v>0.41703097663021171</v>
      </c>
      <c r="P126">
        <f>M126-N126</f>
        <v>0.59205775678157246</v>
      </c>
    </row>
    <row r="127" spans="1:16">
      <c r="A127">
        <v>3</v>
      </c>
      <c r="B127" t="s">
        <v>172</v>
      </c>
      <c r="C127" s="45" t="s">
        <v>420</v>
      </c>
      <c r="D127" s="45" t="s">
        <v>465</v>
      </c>
      <c r="G127">
        <f>Summary!E$51</f>
        <v>13.527272727272729</v>
      </c>
      <c r="H127">
        <f>Chevron!B65</f>
        <v>7.8994459272735504E-4</v>
      </c>
      <c r="I127" s="14">
        <f t="shared" si="45"/>
        <v>0.78994459272735507</v>
      </c>
      <c r="L127" s="45" t="s">
        <v>547</v>
      </c>
      <c r="M127">
        <f>MEDIAN(G124:G135)</f>
        <v>38.166666666666671</v>
      </c>
    </row>
    <row r="128" spans="1:16">
      <c r="A128">
        <v>4</v>
      </c>
      <c r="B128" t="s">
        <v>173</v>
      </c>
      <c r="C128" s="45" t="s">
        <v>421</v>
      </c>
      <c r="D128" s="100" t="s">
        <v>470</v>
      </c>
      <c r="G128" s="130" t="s">
        <v>573</v>
      </c>
      <c r="H128">
        <f>ExM_Torrance!B65</f>
        <v>1.2792015753076685E-3</v>
      </c>
      <c r="I128" s="14">
        <f t="shared" si="45"/>
        <v>1.2792015753076684</v>
      </c>
    </row>
    <row r="129" spans="1:10">
      <c r="A129">
        <v>5</v>
      </c>
      <c r="B129" t="s">
        <v>174</v>
      </c>
      <c r="C129" s="45" t="s">
        <v>422</v>
      </c>
      <c r="D129" s="45" t="s">
        <v>466</v>
      </c>
      <c r="G129">
        <f>Summary!G$51</f>
        <v>18.96911632069369</v>
      </c>
      <c r="H129" s="45">
        <f>Citgo!D36</f>
        <v>1.1542998731261102E-3</v>
      </c>
      <c r="I129" s="14">
        <f t="shared" si="45"/>
        <v>1.1542998731261103</v>
      </c>
      <c r="J129" s="45"/>
    </row>
    <row r="130" spans="1:10">
      <c r="A130">
        <v>6</v>
      </c>
      <c r="B130" t="s">
        <v>398</v>
      </c>
      <c r="C130" s="45" t="s">
        <v>426</v>
      </c>
      <c r="D130" s="100" t="s">
        <v>469</v>
      </c>
      <c r="G130">
        <f>Summary!H$51</f>
        <v>59.497272727272723</v>
      </c>
      <c r="H130">
        <f>Marathon!AD187</f>
        <v>3.0148974252838506E-3</v>
      </c>
      <c r="I130" s="14">
        <f t="shared" si="45"/>
        <v>3.0148974252838507</v>
      </c>
    </row>
    <row r="131" spans="1:10">
      <c r="A131">
        <v>7</v>
      </c>
      <c r="B131" t="s">
        <v>399</v>
      </c>
      <c r="C131" s="45" t="s">
        <v>425</v>
      </c>
      <c r="D131" s="45">
        <v>737</v>
      </c>
      <c r="G131">
        <f>Summary!I$51</f>
        <v>79.171583333333331</v>
      </c>
      <c r="H131">
        <f>Houston1!X79</f>
        <v>2.0785179250181196E-3</v>
      </c>
      <c r="I131" s="14">
        <f t="shared" si="45"/>
        <v>2.0785179250181196</v>
      </c>
    </row>
    <row r="132" spans="1:10">
      <c r="A132">
        <v>8</v>
      </c>
      <c r="B132" t="s">
        <v>400</v>
      </c>
      <c r="C132" s="45" t="s">
        <v>425</v>
      </c>
      <c r="D132" s="45">
        <v>736</v>
      </c>
      <c r="G132" s="130" t="s">
        <v>574</v>
      </c>
      <c r="H132">
        <f>(Houston2!E56+2*Houston1!W79)/3</f>
        <v>9.1358607116252344E-4</v>
      </c>
      <c r="I132" s="14">
        <f t="shared" si="45"/>
        <v>0.91358607116252344</v>
      </c>
    </row>
    <row r="133" spans="1:10">
      <c r="B133" t="s">
        <v>401</v>
      </c>
      <c r="C133" s="45" t="s">
        <v>425</v>
      </c>
      <c r="D133" s="45" t="s">
        <v>407</v>
      </c>
      <c r="H133" s="45" t="s">
        <v>407</v>
      </c>
      <c r="I133" s="14" t="e">
        <f t="shared" si="45"/>
        <v>#VALUE!</v>
      </c>
      <c r="J133" s="45"/>
    </row>
    <row r="134" spans="1:10">
      <c r="A134">
        <v>9</v>
      </c>
      <c r="B134" t="s">
        <v>203</v>
      </c>
      <c r="C134" s="45" t="s">
        <v>423</v>
      </c>
      <c r="D134" s="100" t="s">
        <v>476</v>
      </c>
      <c r="G134">
        <f>Summary!L$51</f>
        <v>54.9</v>
      </c>
      <c r="H134" s="45">
        <f>BP_Husky!B63</f>
        <v>1.6122179929268828E-3</v>
      </c>
      <c r="I134" s="14">
        <f t="shared" si="45"/>
        <v>1.6122179929268829</v>
      </c>
      <c r="J134" s="45"/>
    </row>
    <row r="135" spans="1:10">
      <c r="A135">
        <v>10</v>
      </c>
      <c r="B135" t="s">
        <v>402</v>
      </c>
      <c r="C135" s="45" t="s">
        <v>424</v>
      </c>
      <c r="D135" s="45" t="s">
        <v>477</v>
      </c>
      <c r="G135">
        <f>Summary!M51</f>
        <v>21.433333333333334</v>
      </c>
      <c r="H135" s="45">
        <f>ExM_Baytown!F90</f>
        <v>2.1141291866688516E-3</v>
      </c>
      <c r="I135" s="14">
        <f t="shared" si="45"/>
        <v>2.1141291866688516</v>
      </c>
      <c r="J135" s="45"/>
    </row>
  </sheetData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V55"/>
  <sheetViews>
    <sheetView topLeftCell="A13" workbookViewId="0">
      <selection activeCell="E36" sqref="E36"/>
    </sheetView>
  </sheetViews>
  <sheetFormatPr defaultRowHeight="12.75"/>
  <cols>
    <col min="1" max="1" width="25.7109375" customWidth="1"/>
  </cols>
  <sheetData>
    <row r="1" spans="1:22" ht="20.25">
      <c r="A1" s="6" t="s">
        <v>121</v>
      </c>
    </row>
    <row r="2" spans="1:22" ht="15.75">
      <c r="A2" s="7" t="s">
        <v>122</v>
      </c>
    </row>
    <row r="3" spans="1:22">
      <c r="A3" s="3" t="s">
        <v>139</v>
      </c>
    </row>
    <row r="4" spans="1:22">
      <c r="A4" s="3"/>
      <c r="M4" s="45" t="s">
        <v>14</v>
      </c>
      <c r="S4" s="45" t="s">
        <v>15</v>
      </c>
    </row>
    <row r="5" spans="1:22">
      <c r="A5" t="s">
        <v>1</v>
      </c>
      <c r="B5" t="s">
        <v>14</v>
      </c>
      <c r="C5" t="s">
        <v>15</v>
      </c>
      <c r="E5" t="s">
        <v>186</v>
      </c>
      <c r="M5" s="45" t="s">
        <v>525</v>
      </c>
      <c r="N5" s="45" t="s">
        <v>526</v>
      </c>
      <c r="S5" s="45" t="s">
        <v>525</v>
      </c>
      <c r="T5" s="45" t="s">
        <v>526</v>
      </c>
    </row>
    <row r="6" spans="1:22">
      <c r="A6" t="s">
        <v>123</v>
      </c>
      <c r="B6">
        <v>98.26</v>
      </c>
      <c r="C6">
        <v>91.48</v>
      </c>
      <c r="L6" s="45" t="s">
        <v>130</v>
      </c>
      <c r="M6">
        <f>4.84/0.323</f>
        <v>14.984520123839008</v>
      </c>
      <c r="N6">
        <v>238</v>
      </c>
      <c r="O6">
        <f>M6*N6</f>
        <v>3566.3157894736842</v>
      </c>
      <c r="R6" s="45" t="s">
        <v>130</v>
      </c>
      <c r="S6">
        <f>2.29/0.152</f>
        <v>15.065789473684211</v>
      </c>
      <c r="T6">
        <v>511</v>
      </c>
      <c r="U6">
        <f>S6*T6</f>
        <v>7698.6184210526317</v>
      </c>
    </row>
    <row r="7" spans="1:22">
      <c r="A7" t="s">
        <v>124</v>
      </c>
      <c r="B7">
        <v>7295</v>
      </c>
      <c r="C7">
        <v>3944</v>
      </c>
      <c r="E7">
        <f>+AVERAGE(B7:C7)</f>
        <v>5619.5</v>
      </c>
      <c r="L7" s="45" t="s">
        <v>131</v>
      </c>
      <c r="M7">
        <f>83.7/5.58</f>
        <v>15</v>
      </c>
      <c r="N7">
        <v>148</v>
      </c>
      <c r="O7">
        <f t="shared" ref="O7:O8" si="0">M7*N7</f>
        <v>2220</v>
      </c>
      <c r="R7" s="45" t="s">
        <v>131</v>
      </c>
      <c r="S7">
        <f>1.15/0.077</f>
        <v>14.935064935064934</v>
      </c>
      <c r="T7">
        <v>246</v>
      </c>
      <c r="U7">
        <f t="shared" ref="U7:U8" si="1">S7*T7</f>
        <v>3674.0259740259739</v>
      </c>
    </row>
    <row r="8" spans="1:22">
      <c r="A8" t="s">
        <v>125</v>
      </c>
      <c r="B8">
        <v>420353</v>
      </c>
      <c r="C8">
        <v>46269</v>
      </c>
      <c r="E8">
        <f t="shared" ref="E8:E12" si="2">+AVERAGE(B8:C8)</f>
        <v>233311</v>
      </c>
      <c r="L8" s="45" t="s">
        <v>132</v>
      </c>
      <c r="M8">
        <f>74.2/3.91</f>
        <v>18.976982097186699</v>
      </c>
      <c r="N8">
        <v>122</v>
      </c>
      <c r="O8">
        <f t="shared" si="0"/>
        <v>2315.1918158567773</v>
      </c>
      <c r="R8" s="45" t="s">
        <v>132</v>
      </c>
      <c r="S8">
        <f>6.14/0.384</f>
        <v>15.989583333333332</v>
      </c>
      <c r="T8">
        <v>258</v>
      </c>
      <c r="U8">
        <f t="shared" si="1"/>
        <v>4125.3125</v>
      </c>
    </row>
    <row r="9" spans="1:22">
      <c r="A9" t="s">
        <v>126</v>
      </c>
      <c r="B9">
        <v>1017</v>
      </c>
      <c r="C9">
        <v>519</v>
      </c>
      <c r="E9">
        <f t="shared" si="2"/>
        <v>768</v>
      </c>
      <c r="L9" s="45" t="s">
        <v>366</v>
      </c>
      <c r="O9">
        <f>SUM(O6:O8)</f>
        <v>8101.507605330462</v>
      </c>
      <c r="P9" s="45" t="s">
        <v>527</v>
      </c>
      <c r="R9" s="45" t="s">
        <v>366</v>
      </c>
      <c r="U9">
        <f>SUM(U6:U8)</f>
        <v>15497.956895078605</v>
      </c>
      <c r="V9" s="45" t="s">
        <v>527</v>
      </c>
    </row>
    <row r="10" spans="1:22">
      <c r="A10" t="s">
        <v>127</v>
      </c>
      <c r="B10">
        <v>58611</v>
      </c>
      <c r="C10">
        <v>6089</v>
      </c>
      <c r="E10">
        <f t="shared" si="2"/>
        <v>32350</v>
      </c>
      <c r="O10">
        <f>O9/(1/(B6/100)-1)</f>
        <v>457502.37775848759</v>
      </c>
      <c r="P10" s="45" t="s">
        <v>528</v>
      </c>
      <c r="U10">
        <f>U9/(1/(C6/100)-1)</f>
        <v>166402.94562931816</v>
      </c>
      <c r="V10" s="45" t="s">
        <v>528</v>
      </c>
    </row>
    <row r="11" spans="1:22">
      <c r="A11" t="s">
        <v>128</v>
      </c>
      <c r="B11">
        <f>(205+5742+4865)/3</f>
        <v>3604</v>
      </c>
      <c r="C11">
        <f>(222+233+1105)/3</f>
        <v>520</v>
      </c>
      <c r="E11">
        <f t="shared" si="2"/>
        <v>2062</v>
      </c>
    </row>
    <row r="12" spans="1:22">
      <c r="A12" t="s">
        <v>129</v>
      </c>
      <c r="B12">
        <f>(11825+329744+280339)/3</f>
        <v>207302.66666666666</v>
      </c>
      <c r="C12">
        <f>(2606+2735+12969)/3</f>
        <v>6103.333333333333</v>
      </c>
      <c r="E12">
        <f t="shared" si="2"/>
        <v>106703</v>
      </c>
    </row>
    <row r="14" spans="1:22">
      <c r="A14" t="s">
        <v>136</v>
      </c>
      <c r="B14">
        <v>163</v>
      </c>
      <c r="C14">
        <v>9.58</v>
      </c>
      <c r="E14">
        <f>+AVERAGE(B14:C14)</f>
        <v>86.29</v>
      </c>
      <c r="G14">
        <f>E14/22*24*2*365/2000</f>
        <v>34.359109090909094</v>
      </c>
    </row>
    <row r="15" spans="1:22">
      <c r="A15" t="s">
        <v>137</v>
      </c>
      <c r="B15">
        <f>B14/B12*B8*16/44</f>
        <v>120.18884816052886</v>
      </c>
      <c r="C15">
        <f>C14/C12*C8*16/44</f>
        <v>26.409236085596547</v>
      </c>
      <c r="E15">
        <f>+AVERAGE(B15:C15)</f>
        <v>73.299042123062705</v>
      </c>
    </row>
    <row r="16" spans="1:22">
      <c r="A16" t="s">
        <v>138</v>
      </c>
      <c r="B16">
        <f>B14/B12*B10*30/44</f>
        <v>31.421754065348455</v>
      </c>
      <c r="C16">
        <f>C14/C12*C10*30/44</f>
        <v>6.5164785760389261</v>
      </c>
      <c r="E16">
        <f>+AVERAGE(B16:C16)</f>
        <v>18.96911632069369</v>
      </c>
    </row>
    <row r="18" spans="1:4">
      <c r="A18" s="45" t="s">
        <v>524</v>
      </c>
      <c r="B18">
        <f>4.84/0.323+83.7/5.58+74.2/3.91</f>
        <v>48.961502221025711</v>
      </c>
      <c r="C18">
        <f>2.29/0.152+1.15/0.077+6.14/0.384</f>
        <v>45.990437742082477</v>
      </c>
    </row>
    <row r="21" spans="1:4">
      <c r="A21" s="3" t="s">
        <v>14</v>
      </c>
      <c r="B21" t="s">
        <v>133</v>
      </c>
      <c r="C21" t="s">
        <v>134</v>
      </c>
      <c r="D21" t="s">
        <v>135</v>
      </c>
    </row>
    <row r="22" spans="1:4">
      <c r="A22" t="s">
        <v>130</v>
      </c>
      <c r="B22">
        <v>0.32300000000000001</v>
      </c>
      <c r="C22">
        <v>4.84</v>
      </c>
      <c r="D22">
        <f>C22/B22</f>
        <v>14.984520123839008</v>
      </c>
    </row>
    <row r="23" spans="1:4">
      <c r="A23" t="s">
        <v>131</v>
      </c>
      <c r="B23">
        <v>5.58</v>
      </c>
      <c r="C23">
        <v>83.7</v>
      </c>
      <c r="D23">
        <f>C23/B23</f>
        <v>15</v>
      </c>
    </row>
    <row r="24" spans="1:4">
      <c r="A24" t="s">
        <v>132</v>
      </c>
      <c r="B24">
        <v>3.91</v>
      </c>
      <c r="C24">
        <v>74.2</v>
      </c>
      <c r="D24">
        <f>C24/B24</f>
        <v>18.976982097186699</v>
      </c>
    </row>
    <row r="25" spans="1:4">
      <c r="A25" s="3" t="s">
        <v>15</v>
      </c>
    </row>
    <row r="26" spans="1:4">
      <c r="A26" t="s">
        <v>130</v>
      </c>
      <c r="B26">
        <v>0.152</v>
      </c>
      <c r="C26">
        <v>2.29</v>
      </c>
      <c r="D26">
        <f>C26/B26</f>
        <v>15.065789473684211</v>
      </c>
    </row>
    <row r="27" spans="1:4">
      <c r="A27" t="s">
        <v>131</v>
      </c>
      <c r="B27">
        <v>7.6999999999999999E-2</v>
      </c>
      <c r="C27">
        <v>1.1499999999999999</v>
      </c>
      <c r="D27">
        <f>C27/B27</f>
        <v>14.935064935064934</v>
      </c>
    </row>
    <row r="28" spans="1:4">
      <c r="A28" t="s">
        <v>132</v>
      </c>
      <c r="B28">
        <v>0.38400000000000001</v>
      </c>
      <c r="C28">
        <v>6.14</v>
      </c>
      <c r="D28">
        <f>C28/B28</f>
        <v>15.989583333333332</v>
      </c>
    </row>
    <row r="30" spans="1:4">
      <c r="A30" s="3" t="s">
        <v>497</v>
      </c>
    </row>
    <row r="31" spans="1:4">
      <c r="B31" s="2" t="s">
        <v>14</v>
      </c>
      <c r="C31" s="45" t="s">
        <v>15</v>
      </c>
      <c r="D31" s="45" t="s">
        <v>186</v>
      </c>
    </row>
    <row r="32" spans="1:4">
      <c r="A32" s="45" t="s">
        <v>494</v>
      </c>
      <c r="B32" s="45">
        <f>O10</f>
        <v>457502.37775848759</v>
      </c>
      <c r="C32">
        <f>U10</f>
        <v>166402.94562931816</v>
      </c>
    </row>
    <row r="33" spans="1:4">
      <c r="A33" s="45" t="s">
        <v>495</v>
      </c>
      <c r="B33">
        <f>B32/849.5*18*2.2046</f>
        <v>21371.365928327858</v>
      </c>
      <c r="C33">
        <f>C32/849.5*18*2.2046</f>
        <v>7773.2016607641053</v>
      </c>
    </row>
    <row r="34" spans="1:4">
      <c r="A34" s="45" t="s">
        <v>496</v>
      </c>
    </row>
    <row r="35" spans="1:4">
      <c r="A35" s="91" t="s">
        <v>145</v>
      </c>
      <c r="B35">
        <f>B15/$B$33</f>
        <v>5.6238262244725275E-3</v>
      </c>
      <c r="C35">
        <f>C15/$C$33</f>
        <v>3.3974721405851858E-3</v>
      </c>
      <c r="D35">
        <f>AVERAGE(B35:C35)</f>
        <v>4.5106491825288569E-3</v>
      </c>
    </row>
    <row r="36" spans="1:4">
      <c r="A36" s="91" t="s">
        <v>146</v>
      </c>
      <c r="B36">
        <f>B16/$B$33</f>
        <v>1.4702735506343446E-3</v>
      </c>
      <c r="C36">
        <f>C16/$C$33</f>
        <v>8.3832619561787576E-4</v>
      </c>
      <c r="D36">
        <f t="shared" ref="D36:D37" si="3">AVERAGE(B36:C36)</f>
        <v>1.1542998731261102E-3</v>
      </c>
    </row>
    <row r="37" spans="1:4">
      <c r="A37" s="91" t="s">
        <v>193</v>
      </c>
      <c r="B37">
        <f>B14/B33</f>
        <v>7.6270277036407227E-3</v>
      </c>
      <c r="C37">
        <f>C14/C33</f>
        <v>1.2324394011744043E-3</v>
      </c>
      <c r="D37">
        <f t="shared" si="3"/>
        <v>4.4297335524075632E-3</v>
      </c>
    </row>
    <row r="38" spans="1:4">
      <c r="A38" s="91" t="s">
        <v>52</v>
      </c>
      <c r="B38" s="45" t="s">
        <v>407</v>
      </c>
      <c r="C38" s="45" t="s">
        <v>407</v>
      </c>
    </row>
    <row r="39" spans="1:4">
      <c r="A39" s="91" t="s">
        <v>54</v>
      </c>
      <c r="B39" s="45" t="s">
        <v>407</v>
      </c>
      <c r="C39" s="45" t="s">
        <v>407</v>
      </c>
    </row>
    <row r="40" spans="1:4">
      <c r="A40" s="92" t="s">
        <v>339</v>
      </c>
      <c r="B40" s="45" t="s">
        <v>407</v>
      </c>
      <c r="C40" s="45" t="s">
        <v>407</v>
      </c>
    </row>
    <row r="41" spans="1:4">
      <c r="A41" s="91" t="s">
        <v>167</v>
      </c>
      <c r="B41" s="45" t="s">
        <v>407</v>
      </c>
      <c r="C41" s="45" t="s">
        <v>407</v>
      </c>
    </row>
    <row r="42" spans="1:4">
      <c r="A42" s="91" t="s">
        <v>168</v>
      </c>
      <c r="B42" s="13"/>
    </row>
    <row r="43" spans="1:4">
      <c r="A43" s="93" t="s">
        <v>78</v>
      </c>
      <c r="B43" s="45" t="s">
        <v>407</v>
      </c>
      <c r="C43" s="45" t="s">
        <v>407</v>
      </c>
    </row>
    <row r="44" spans="1:4">
      <c r="A44" s="93" t="s">
        <v>56</v>
      </c>
      <c r="B44" s="45" t="s">
        <v>407</v>
      </c>
      <c r="C44" s="45" t="s">
        <v>407</v>
      </c>
    </row>
    <row r="45" spans="1:4">
      <c r="A45" s="93" t="s">
        <v>87</v>
      </c>
      <c r="B45" s="45" t="s">
        <v>407</v>
      </c>
      <c r="C45" s="45" t="s">
        <v>407</v>
      </c>
    </row>
    <row r="46" spans="1:4">
      <c r="A46" s="93" t="s">
        <v>74</v>
      </c>
      <c r="B46" s="45" t="s">
        <v>407</v>
      </c>
      <c r="C46" s="45" t="s">
        <v>407</v>
      </c>
    </row>
    <row r="47" spans="1:4">
      <c r="A47" s="94" t="s">
        <v>76</v>
      </c>
      <c r="B47" s="45" t="s">
        <v>407</v>
      </c>
      <c r="C47" s="45" t="s">
        <v>407</v>
      </c>
    </row>
    <row r="48" spans="1:4">
      <c r="A48" s="93" t="s">
        <v>179</v>
      </c>
      <c r="B48" s="45" t="s">
        <v>407</v>
      </c>
      <c r="C48" s="45" t="s">
        <v>407</v>
      </c>
    </row>
    <row r="49" spans="1:3">
      <c r="A49" s="93"/>
      <c r="B49" s="95"/>
    </row>
    <row r="50" spans="1:3">
      <c r="A50" s="93" t="s">
        <v>88</v>
      </c>
      <c r="B50" s="45" t="s">
        <v>407</v>
      </c>
      <c r="C50" s="45" t="s">
        <v>407</v>
      </c>
    </row>
    <row r="51" spans="1:3">
      <c r="A51" s="93" t="s">
        <v>189</v>
      </c>
      <c r="B51" s="45" t="s">
        <v>407</v>
      </c>
      <c r="C51" s="45" t="s">
        <v>407</v>
      </c>
    </row>
    <row r="52" spans="1:3">
      <c r="A52" s="93"/>
      <c r="B52" s="95"/>
    </row>
    <row r="53" spans="1:3">
      <c r="A53" s="93" t="s">
        <v>184</v>
      </c>
      <c r="B53" s="45" t="s">
        <v>407</v>
      </c>
      <c r="C53" s="45" t="s">
        <v>407</v>
      </c>
    </row>
    <row r="54" spans="1:3">
      <c r="A54" s="93" t="s">
        <v>183</v>
      </c>
      <c r="B54" s="45" t="s">
        <v>407</v>
      </c>
      <c r="C54" s="45" t="s">
        <v>407</v>
      </c>
    </row>
    <row r="55" spans="1:3">
      <c r="A55" s="94" t="s">
        <v>142</v>
      </c>
      <c r="B55" s="45" t="s">
        <v>407</v>
      </c>
      <c r="C55" s="45" t="s">
        <v>407</v>
      </c>
    </row>
  </sheetData>
  <phoneticPr fontId="2" type="noConversion"/>
  <pageMargins left="0.75" right="0.75" top="1" bottom="1" header="0.5" footer="0.5"/>
  <pageSetup paperSize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06"/>
  <sheetViews>
    <sheetView topLeftCell="A19" zoomScale="90" zoomScaleNormal="90" workbookViewId="0">
      <pane xSplit="1" ySplit="3" topLeftCell="B27" activePane="bottomRight" state="frozen"/>
      <selection activeCell="A19" sqref="A19"/>
      <selection pane="topRight" activeCell="B19" sqref="B19"/>
      <selection pane="bottomLeft" activeCell="A22" sqref="A22"/>
      <selection pane="bottomRight" activeCell="AB42" sqref="AB42"/>
    </sheetView>
  </sheetViews>
  <sheetFormatPr defaultRowHeight="12.75"/>
  <cols>
    <col min="1" max="1" width="36.42578125" customWidth="1"/>
    <col min="2" max="2" width="9.42578125" customWidth="1"/>
    <col min="3" max="11" width="9.5703125" customWidth="1"/>
    <col min="12" max="12" width="4.42578125" customWidth="1"/>
    <col min="13" max="14" width="9.140625" customWidth="1"/>
    <col min="15" max="17" width="9.5703125" customWidth="1"/>
    <col min="18" max="18" width="4.140625" customWidth="1"/>
    <col min="19" max="22" width="9.5703125" customWidth="1"/>
    <col min="23" max="23" width="3.5703125" customWidth="1"/>
    <col min="24" max="256" width="9.5703125" customWidth="1"/>
  </cols>
  <sheetData>
    <row r="1" spans="1:11" ht="15.75">
      <c r="A1" t="s">
        <v>219</v>
      </c>
      <c r="C1" s="5"/>
    </row>
    <row r="2" spans="1:11">
      <c r="A2" t="s">
        <v>151</v>
      </c>
    </row>
    <row r="3" spans="1:11">
      <c r="D3" s="8"/>
    </row>
    <row r="4" spans="1:11">
      <c r="A4" s="2" t="s">
        <v>1</v>
      </c>
      <c r="B4" s="2" t="s">
        <v>2</v>
      </c>
    </row>
    <row r="5" spans="1:11">
      <c r="A5" t="s">
        <v>10</v>
      </c>
      <c r="B5">
        <v>205</v>
      </c>
    </row>
    <row r="6" spans="1:11">
      <c r="A6" t="s">
        <v>221</v>
      </c>
      <c r="B6">
        <v>1</v>
      </c>
      <c r="C6">
        <v>1</v>
      </c>
      <c r="D6">
        <v>1</v>
      </c>
      <c r="E6">
        <v>1</v>
      </c>
      <c r="F6">
        <v>1</v>
      </c>
      <c r="G6">
        <v>2</v>
      </c>
      <c r="H6">
        <v>2</v>
      </c>
      <c r="I6">
        <v>2</v>
      </c>
      <c r="J6">
        <v>2</v>
      </c>
      <c r="K6">
        <v>2</v>
      </c>
    </row>
    <row r="7" spans="1:11">
      <c r="A7" t="s">
        <v>220</v>
      </c>
      <c r="B7">
        <v>1</v>
      </c>
      <c r="C7">
        <v>2</v>
      </c>
      <c r="D7">
        <v>3</v>
      </c>
      <c r="E7">
        <v>4</v>
      </c>
      <c r="F7">
        <v>5</v>
      </c>
      <c r="G7">
        <v>6</v>
      </c>
      <c r="H7">
        <v>7</v>
      </c>
      <c r="I7">
        <v>8</v>
      </c>
      <c r="J7">
        <v>9</v>
      </c>
      <c r="K7">
        <v>10</v>
      </c>
    </row>
    <row r="8" spans="1:11">
      <c r="A8" t="s">
        <v>113</v>
      </c>
    </row>
    <row r="9" spans="1:11">
      <c r="A9" t="s">
        <v>114</v>
      </c>
    </row>
    <row r="10" spans="1:11">
      <c r="A10" t="s">
        <v>3</v>
      </c>
    </row>
    <row r="11" spans="1:11">
      <c r="A11" t="s">
        <v>4</v>
      </c>
    </row>
    <row r="12" spans="1:11">
      <c r="A12" t="s">
        <v>5</v>
      </c>
    </row>
    <row r="13" spans="1:11">
      <c r="A13" t="s">
        <v>6</v>
      </c>
    </row>
    <row r="14" spans="1:11">
      <c r="A14" t="s">
        <v>7</v>
      </c>
    </row>
    <row r="15" spans="1:11">
      <c r="A15" t="s">
        <v>8</v>
      </c>
    </row>
    <row r="16" spans="1:11">
      <c r="A16" t="s">
        <v>9</v>
      </c>
    </row>
    <row r="18" spans="1:36">
      <c r="A18" t="s">
        <v>212</v>
      </c>
    </row>
    <row r="19" spans="1:36">
      <c r="C19" t="s">
        <v>236</v>
      </c>
      <c r="O19" t="s">
        <v>237</v>
      </c>
      <c r="P19" t="s">
        <v>235</v>
      </c>
      <c r="Q19" t="s">
        <v>235</v>
      </c>
      <c r="S19" t="s">
        <v>256</v>
      </c>
      <c r="AD19" t="s">
        <v>257</v>
      </c>
      <c r="AH19" t="s">
        <v>261</v>
      </c>
    </row>
    <row r="20" spans="1:36">
      <c r="B20" t="s">
        <v>14</v>
      </c>
      <c r="C20" t="s">
        <v>15</v>
      </c>
      <c r="D20" t="s">
        <v>16</v>
      </c>
      <c r="E20" t="s">
        <v>17</v>
      </c>
      <c r="F20" t="s">
        <v>224</v>
      </c>
      <c r="G20" t="s">
        <v>225</v>
      </c>
      <c r="H20" t="s">
        <v>226</v>
      </c>
      <c r="I20" t="s">
        <v>227</v>
      </c>
      <c r="J20" t="s">
        <v>228</v>
      </c>
      <c r="K20" t="s">
        <v>229</v>
      </c>
      <c r="M20" t="s">
        <v>230</v>
      </c>
      <c r="N20" t="s">
        <v>231</v>
      </c>
      <c r="O20" t="s">
        <v>232</v>
      </c>
      <c r="P20" t="s">
        <v>233</v>
      </c>
      <c r="Q20" t="s">
        <v>234</v>
      </c>
      <c r="S20" t="s">
        <v>241</v>
      </c>
      <c r="T20" t="s">
        <v>253</v>
      </c>
      <c r="U20" t="s">
        <v>254</v>
      </c>
      <c r="V20" t="s">
        <v>255</v>
      </c>
      <c r="X20" t="s">
        <v>242</v>
      </c>
      <c r="Y20" t="s">
        <v>243</v>
      </c>
      <c r="Z20" t="s">
        <v>244</v>
      </c>
      <c r="AA20" t="s">
        <v>245</v>
      </c>
      <c r="AB20" t="s">
        <v>246</v>
      </c>
    </row>
    <row r="21" spans="1:36">
      <c r="A21" t="s">
        <v>18</v>
      </c>
      <c r="B21" s="1">
        <v>40305</v>
      </c>
      <c r="C21" s="1">
        <v>40306</v>
      </c>
      <c r="D21" s="1">
        <v>40307</v>
      </c>
      <c r="E21" s="1">
        <v>40309</v>
      </c>
      <c r="F21" s="1">
        <v>40314</v>
      </c>
      <c r="G21" s="1">
        <v>40316</v>
      </c>
      <c r="H21" s="1">
        <v>40317</v>
      </c>
      <c r="I21" s="1">
        <v>40318</v>
      </c>
      <c r="J21" s="1">
        <v>40320</v>
      </c>
      <c r="K21" s="1">
        <v>40321</v>
      </c>
      <c r="M21" s="1">
        <v>40343</v>
      </c>
      <c r="N21" s="1">
        <v>40345</v>
      </c>
      <c r="O21" s="1">
        <v>40346</v>
      </c>
      <c r="P21" s="1">
        <v>40346</v>
      </c>
      <c r="Q21" s="1">
        <v>40347</v>
      </c>
      <c r="S21" s="1">
        <v>40420</v>
      </c>
      <c r="T21" s="1">
        <v>40421</v>
      </c>
      <c r="U21" s="1">
        <v>40422</v>
      </c>
      <c r="V21" s="1">
        <v>40422</v>
      </c>
      <c r="X21" s="1">
        <v>40420</v>
      </c>
      <c r="Y21" s="1">
        <v>40421</v>
      </c>
      <c r="Z21" s="1">
        <v>40422</v>
      </c>
      <c r="AA21" s="1">
        <v>40422</v>
      </c>
      <c r="AB21" s="1">
        <v>40423</v>
      </c>
      <c r="AD21" t="s">
        <v>258</v>
      </c>
      <c r="AE21" t="s">
        <v>259</v>
      </c>
      <c r="AF21" t="s">
        <v>260</v>
      </c>
      <c r="AH21" t="s">
        <v>262</v>
      </c>
      <c r="AI21" t="s">
        <v>263</v>
      </c>
      <c r="AJ21" t="s">
        <v>264</v>
      </c>
    </row>
    <row r="22" spans="1:36">
      <c r="A22" t="s">
        <v>112</v>
      </c>
      <c r="B22">
        <v>3.28</v>
      </c>
      <c r="C22">
        <v>2.34</v>
      </c>
      <c r="D22">
        <v>3.15</v>
      </c>
      <c r="E22">
        <v>3.27</v>
      </c>
      <c r="F22">
        <v>3.08</v>
      </c>
      <c r="G22">
        <v>2.39</v>
      </c>
      <c r="H22">
        <v>2.04</v>
      </c>
      <c r="I22">
        <v>2.89</v>
      </c>
      <c r="J22">
        <v>1.83</v>
      </c>
      <c r="K22">
        <v>2.27</v>
      </c>
      <c r="M22">
        <v>2.35</v>
      </c>
      <c r="N22">
        <v>2.23</v>
      </c>
      <c r="O22">
        <v>2.68</v>
      </c>
      <c r="P22">
        <v>2.15</v>
      </c>
      <c r="Q22">
        <v>3.43</v>
      </c>
      <c r="S22" s="25">
        <v>1.17</v>
      </c>
      <c r="T22">
        <v>2.2000000000000002</v>
      </c>
      <c r="U22">
        <v>2.4300000000000002</v>
      </c>
      <c r="V22">
        <v>2.09</v>
      </c>
      <c r="X22" s="25">
        <v>1.8</v>
      </c>
      <c r="Y22" s="25">
        <v>1.1299999999999999</v>
      </c>
      <c r="Z22" s="25">
        <v>1.53</v>
      </c>
      <c r="AA22">
        <v>2.16</v>
      </c>
      <c r="AB22">
        <v>2.33</v>
      </c>
      <c r="AD22">
        <f>AVERAGE(B22,D22,E22,F22,I22)</f>
        <v>3.1339999999999999</v>
      </c>
      <c r="AE22">
        <f>AVERAGE(C22,G22,H22,I22,K22,M22,N22,O22,P22,T22,U22,V22,AA22,AB22)</f>
        <v>2.3249999999999997</v>
      </c>
      <c r="AF22">
        <f>AVERAGE(J22,S22,X22,Y22,Z22)</f>
        <v>1.492</v>
      </c>
      <c r="AH22">
        <f>AVERAGE(D22,M22,O22,P22,Q22,V22)</f>
        <v>2.6416666666666666</v>
      </c>
      <c r="AI22">
        <f>AVERAGE(B22,C22,E22,G22,H22,I22,J22,K22,N22,T22,V22,AA22)</f>
        <v>2.4158333333333331</v>
      </c>
      <c r="AJ22">
        <f>AVERAGE(F22,S22,U22,X22,Y22,Z22,AB22)</f>
        <v>1.9242857142857142</v>
      </c>
    </row>
    <row r="23" spans="1:36">
      <c r="A23" t="s">
        <v>214</v>
      </c>
      <c r="B23">
        <v>242</v>
      </c>
      <c r="C23">
        <v>244</v>
      </c>
      <c r="D23">
        <v>235</v>
      </c>
      <c r="E23">
        <v>252</v>
      </c>
      <c r="F23">
        <v>275</v>
      </c>
      <c r="G23">
        <v>242</v>
      </c>
      <c r="H23">
        <v>248</v>
      </c>
      <c r="I23">
        <v>257</v>
      </c>
      <c r="J23">
        <v>249</v>
      </c>
      <c r="K23">
        <v>243</v>
      </c>
      <c r="M23">
        <v>238</v>
      </c>
      <c r="N23">
        <v>241</v>
      </c>
      <c r="O23" s="24">
        <f>113+100</f>
        <v>213</v>
      </c>
      <c r="P23">
        <v>231</v>
      </c>
      <c r="Q23" s="24">
        <f>119+100</f>
        <v>219</v>
      </c>
      <c r="S23" s="25">
        <v>299</v>
      </c>
      <c r="T23">
        <v>268</v>
      </c>
      <c r="U23">
        <v>271</v>
      </c>
      <c r="V23">
        <v>239</v>
      </c>
      <c r="X23" s="25">
        <v>288</v>
      </c>
      <c r="Y23" s="25">
        <v>278</v>
      </c>
      <c r="Z23" s="25">
        <v>349</v>
      </c>
      <c r="AA23">
        <v>257</v>
      </c>
      <c r="AB23">
        <v>272</v>
      </c>
      <c r="AD23">
        <f t="shared" ref="AD23:AD30" si="0">AVERAGE(B23,D23,E23,F23,I23)</f>
        <v>252.2</v>
      </c>
      <c r="AE23">
        <f t="shared" ref="AE23:AE30" si="1">AVERAGE(C23,G23,H23,I23,K23,M23,N23,O23,P23,T23,U23,V23,AA23,AB23)</f>
        <v>247.42857142857142</v>
      </c>
      <c r="AF23">
        <f t="shared" ref="AF23:AF30" si="2">AVERAGE(J23,S23,X23,Y23,Z23)</f>
        <v>292.60000000000002</v>
      </c>
      <c r="AH23">
        <f t="shared" ref="AH23:AH45" si="3">AVERAGE(D23,M23,O23,P23,Q23,V23)</f>
        <v>229.16666666666666</v>
      </c>
      <c r="AI23">
        <f t="shared" ref="AI23:AI45" si="4">AVERAGE(B23,C23,E23,G23,H23,I23,J23,K23,N23,T23,V23,AA23)</f>
        <v>248.5</v>
      </c>
      <c r="AJ23">
        <f t="shared" ref="AJ23:AJ45" si="5">AVERAGE(F23,S23,U23,X23,Y23,Z23,AB23)</f>
        <v>290.28571428571428</v>
      </c>
    </row>
    <row r="24" spans="1:36">
      <c r="A24" t="s">
        <v>213</v>
      </c>
      <c r="B24">
        <v>43</v>
      </c>
      <c r="C24">
        <v>78</v>
      </c>
      <c r="D24">
        <v>82</v>
      </c>
      <c r="E24">
        <v>74</v>
      </c>
      <c r="F24">
        <v>113</v>
      </c>
      <c r="G24">
        <v>50</v>
      </c>
      <c r="H24">
        <v>44</v>
      </c>
      <c r="I24">
        <v>79</v>
      </c>
      <c r="J24">
        <v>84</v>
      </c>
      <c r="K24">
        <v>62</v>
      </c>
      <c r="M24">
        <v>50</v>
      </c>
      <c r="N24">
        <v>61</v>
      </c>
      <c r="O24">
        <v>74</v>
      </c>
      <c r="P24">
        <v>66</v>
      </c>
      <c r="Q24">
        <v>48</v>
      </c>
      <c r="S24">
        <v>50</v>
      </c>
      <c r="T24">
        <v>59</v>
      </c>
      <c r="U24">
        <v>50</v>
      </c>
      <c r="V24">
        <v>61</v>
      </c>
      <c r="X24">
        <v>43</v>
      </c>
      <c r="Y24">
        <v>62</v>
      </c>
      <c r="Z24">
        <v>36</v>
      </c>
      <c r="AA24">
        <v>41</v>
      </c>
      <c r="AB24">
        <v>45</v>
      </c>
      <c r="AD24">
        <f t="shared" si="0"/>
        <v>78.2</v>
      </c>
      <c r="AE24">
        <f t="shared" si="1"/>
        <v>58.571428571428569</v>
      </c>
      <c r="AF24">
        <f t="shared" si="2"/>
        <v>55</v>
      </c>
      <c r="AH24">
        <f t="shared" si="3"/>
        <v>63.5</v>
      </c>
      <c r="AI24">
        <f t="shared" si="4"/>
        <v>61.333333333333336</v>
      </c>
      <c r="AJ24">
        <f t="shared" si="5"/>
        <v>57</v>
      </c>
    </row>
    <row r="25" spans="1:36">
      <c r="A25" t="s">
        <v>240</v>
      </c>
      <c r="B25">
        <v>569871</v>
      </c>
      <c r="C25">
        <v>560284</v>
      </c>
      <c r="D25">
        <v>1193081</v>
      </c>
      <c r="E25">
        <v>766917</v>
      </c>
      <c r="F25">
        <v>1019299</v>
      </c>
      <c r="G25">
        <v>740376</v>
      </c>
      <c r="H25">
        <v>403002</v>
      </c>
      <c r="I25">
        <v>883578</v>
      </c>
      <c r="J25">
        <v>583863</v>
      </c>
      <c r="K25">
        <v>673809</v>
      </c>
      <c r="M25">
        <v>581848</v>
      </c>
      <c r="N25">
        <v>709050</v>
      </c>
      <c r="O25">
        <v>1101676</v>
      </c>
      <c r="P25">
        <v>827361</v>
      </c>
      <c r="Q25">
        <v>527894</v>
      </c>
      <c r="S25">
        <v>73773</v>
      </c>
      <c r="T25">
        <v>588720</v>
      </c>
      <c r="U25">
        <v>404576</v>
      </c>
      <c r="V25">
        <v>818419</v>
      </c>
      <c r="X25">
        <v>338882</v>
      </c>
      <c r="Y25">
        <v>527886</v>
      </c>
      <c r="Z25">
        <v>190273</v>
      </c>
      <c r="AA25">
        <v>337254</v>
      </c>
      <c r="AB25">
        <v>470999</v>
      </c>
      <c r="AD25">
        <f t="shared" si="0"/>
        <v>886549.2</v>
      </c>
      <c r="AE25">
        <f t="shared" si="1"/>
        <v>650068</v>
      </c>
      <c r="AF25">
        <f t="shared" si="2"/>
        <v>342935.4</v>
      </c>
      <c r="AH25">
        <f t="shared" si="3"/>
        <v>841713.16666666663</v>
      </c>
      <c r="AI25">
        <f t="shared" si="4"/>
        <v>636261.91666666663</v>
      </c>
      <c r="AJ25">
        <f t="shared" si="5"/>
        <v>432241.14285714284</v>
      </c>
    </row>
    <row r="26" spans="1:36">
      <c r="A26" t="s">
        <v>222</v>
      </c>
      <c r="B26">
        <v>28591</v>
      </c>
      <c r="C26">
        <v>27358</v>
      </c>
      <c r="D26">
        <v>27786</v>
      </c>
      <c r="E26">
        <v>27936</v>
      </c>
      <c r="F26">
        <v>26486</v>
      </c>
      <c r="G26">
        <v>26152</v>
      </c>
      <c r="H26">
        <v>26939</v>
      </c>
      <c r="I26">
        <v>25978</v>
      </c>
      <c r="J26">
        <v>26652</v>
      </c>
      <c r="K26">
        <v>26524</v>
      </c>
      <c r="M26">
        <v>23045</v>
      </c>
      <c r="N26">
        <v>25205</v>
      </c>
      <c r="O26">
        <v>29083</v>
      </c>
      <c r="P26">
        <v>28996</v>
      </c>
      <c r="Q26">
        <v>26156</v>
      </c>
      <c r="S26">
        <v>26234</v>
      </c>
      <c r="T26">
        <v>27647</v>
      </c>
      <c r="U26">
        <v>26803</v>
      </c>
      <c r="V26">
        <v>26316</v>
      </c>
      <c r="X26">
        <v>28037</v>
      </c>
      <c r="Y26">
        <v>27560</v>
      </c>
      <c r="Z26">
        <v>27045</v>
      </c>
      <c r="AA26">
        <v>26863</v>
      </c>
      <c r="AB26">
        <v>27274</v>
      </c>
      <c r="AD26">
        <f t="shared" si="0"/>
        <v>27355.4</v>
      </c>
      <c r="AE26">
        <f t="shared" si="1"/>
        <v>26727.357142857141</v>
      </c>
      <c r="AF26">
        <f t="shared" si="2"/>
        <v>27105.599999999999</v>
      </c>
      <c r="AH26">
        <f t="shared" si="3"/>
        <v>26897</v>
      </c>
      <c r="AI26">
        <f t="shared" si="4"/>
        <v>26846.75</v>
      </c>
      <c r="AJ26">
        <f t="shared" si="5"/>
        <v>27062.714285714286</v>
      </c>
    </row>
    <row r="27" spans="1:36">
      <c r="A27" t="s">
        <v>24</v>
      </c>
      <c r="B27">
        <v>1815</v>
      </c>
      <c r="C27">
        <v>1941</v>
      </c>
      <c r="D27">
        <v>1930</v>
      </c>
      <c r="E27">
        <v>1962</v>
      </c>
      <c r="F27">
        <v>1918</v>
      </c>
      <c r="G27">
        <v>1805</v>
      </c>
      <c r="H27">
        <v>1752</v>
      </c>
      <c r="I27">
        <v>1752</v>
      </c>
      <c r="J27">
        <v>1805</v>
      </c>
      <c r="K27">
        <v>1878</v>
      </c>
      <c r="M27">
        <v>1805</v>
      </c>
      <c r="N27">
        <v>1813</v>
      </c>
      <c r="O27">
        <v>1897</v>
      </c>
      <c r="P27">
        <v>1687</v>
      </c>
      <c r="Q27">
        <v>1813</v>
      </c>
      <c r="S27">
        <v>1652</v>
      </c>
      <c r="T27">
        <v>1657</v>
      </c>
      <c r="U27">
        <v>1813</v>
      </c>
      <c r="V27">
        <v>1563</v>
      </c>
      <c r="X27">
        <v>1773</v>
      </c>
      <c r="Y27">
        <v>1771</v>
      </c>
      <c r="Z27">
        <v>1844</v>
      </c>
      <c r="AA27">
        <v>1673</v>
      </c>
      <c r="AB27">
        <v>1842</v>
      </c>
      <c r="AD27">
        <f t="shared" si="0"/>
        <v>1875.4</v>
      </c>
      <c r="AE27">
        <f t="shared" si="1"/>
        <v>1777</v>
      </c>
      <c r="AF27">
        <f t="shared" si="2"/>
        <v>1769</v>
      </c>
      <c r="AH27">
        <f t="shared" si="3"/>
        <v>1782.5</v>
      </c>
      <c r="AI27">
        <f t="shared" si="4"/>
        <v>1784.6666666666667</v>
      </c>
      <c r="AJ27">
        <f t="shared" si="5"/>
        <v>1801.8571428571429</v>
      </c>
    </row>
    <row r="28" spans="1:36">
      <c r="A28" t="s">
        <v>115</v>
      </c>
      <c r="B28">
        <v>37</v>
      </c>
      <c r="C28">
        <v>31</v>
      </c>
      <c r="D28">
        <v>31.7</v>
      </c>
      <c r="E28">
        <v>30</v>
      </c>
      <c r="F28">
        <v>32.1</v>
      </c>
      <c r="G28">
        <v>37.5</v>
      </c>
      <c r="H28">
        <v>40</v>
      </c>
      <c r="I28">
        <v>40</v>
      </c>
      <c r="J28">
        <v>37.5</v>
      </c>
      <c r="K28">
        <v>34</v>
      </c>
      <c r="M28">
        <v>37.5</v>
      </c>
      <c r="N28">
        <v>37.1</v>
      </c>
      <c r="O28">
        <v>33.1</v>
      </c>
      <c r="P28">
        <v>43.1</v>
      </c>
      <c r="Q28">
        <v>37.1</v>
      </c>
      <c r="S28">
        <v>44.7</v>
      </c>
      <c r="T28">
        <v>44.5</v>
      </c>
      <c r="U28">
        <v>37.1</v>
      </c>
      <c r="V28">
        <v>49</v>
      </c>
      <c r="X28">
        <v>39</v>
      </c>
      <c r="Y28">
        <v>39.1</v>
      </c>
      <c r="Z28">
        <v>35.700000000000003</v>
      </c>
      <c r="AA28">
        <v>44.3</v>
      </c>
      <c r="AB28">
        <v>35.700000000000003</v>
      </c>
      <c r="AD28">
        <f t="shared" si="0"/>
        <v>34.160000000000004</v>
      </c>
      <c r="AE28">
        <f t="shared" si="1"/>
        <v>38.850000000000009</v>
      </c>
      <c r="AF28">
        <f t="shared" si="2"/>
        <v>39.200000000000003</v>
      </c>
      <c r="AH28">
        <f t="shared" si="3"/>
        <v>38.583333333333336</v>
      </c>
      <c r="AI28">
        <f t="shared" si="4"/>
        <v>38.491666666666667</v>
      </c>
      <c r="AJ28">
        <f t="shared" si="5"/>
        <v>37.628571428571426</v>
      </c>
    </row>
    <row r="29" spans="1:36">
      <c r="A29" t="s">
        <v>223</v>
      </c>
      <c r="B29">
        <v>16.100000000000001</v>
      </c>
      <c r="C29">
        <v>15.8</v>
      </c>
      <c r="D29">
        <v>16.2</v>
      </c>
      <c r="E29">
        <v>17.399999999999999</v>
      </c>
      <c r="F29">
        <v>16.5</v>
      </c>
      <c r="G29">
        <v>15.9</v>
      </c>
      <c r="H29">
        <v>18.899999999999999</v>
      </c>
      <c r="I29">
        <v>17.600000000000001</v>
      </c>
      <c r="J29">
        <v>16.5</v>
      </c>
      <c r="K29">
        <v>15.5</v>
      </c>
      <c r="M29">
        <v>16.600000000000001</v>
      </c>
      <c r="N29">
        <v>19.100000000000001</v>
      </c>
      <c r="O29">
        <v>18.399999999999999</v>
      </c>
      <c r="P29">
        <v>17</v>
      </c>
      <c r="Q29">
        <v>20.7</v>
      </c>
      <c r="S29">
        <v>17.100000000000001</v>
      </c>
      <c r="T29">
        <v>17</v>
      </c>
      <c r="U29">
        <v>17.100000000000001</v>
      </c>
      <c r="V29">
        <v>16.600000000000001</v>
      </c>
      <c r="X29">
        <v>17.100000000000001</v>
      </c>
      <c r="Y29">
        <v>17</v>
      </c>
      <c r="Z29">
        <v>16.899999999999999</v>
      </c>
      <c r="AA29">
        <v>17.100000000000001</v>
      </c>
      <c r="AB29">
        <v>18.899999999999999</v>
      </c>
      <c r="AD29">
        <f t="shared" si="0"/>
        <v>16.759999999999998</v>
      </c>
      <c r="AE29">
        <f t="shared" si="1"/>
        <v>17.25</v>
      </c>
      <c r="AF29">
        <f t="shared" si="2"/>
        <v>16.919999999999998</v>
      </c>
      <c r="AH29">
        <f t="shared" si="3"/>
        <v>17.583333333333332</v>
      </c>
      <c r="AI29">
        <f t="shared" si="4"/>
        <v>16.958333333333332</v>
      </c>
      <c r="AJ29">
        <f t="shared" si="5"/>
        <v>17.228571428571431</v>
      </c>
    </row>
    <row r="30" spans="1:36">
      <c r="A30" t="s">
        <v>31</v>
      </c>
      <c r="B30">
        <v>98.95</v>
      </c>
      <c r="C30">
        <v>98.75</v>
      </c>
      <c r="D30">
        <v>99.75</v>
      </c>
      <c r="E30">
        <v>99.65</v>
      </c>
      <c r="F30">
        <v>98.65</v>
      </c>
      <c r="G30">
        <v>99.5</v>
      </c>
      <c r="H30">
        <v>99.55</v>
      </c>
      <c r="I30">
        <v>99.35</v>
      </c>
      <c r="J30">
        <v>98.85</v>
      </c>
      <c r="K30">
        <v>98.3</v>
      </c>
      <c r="M30">
        <v>99.4</v>
      </c>
      <c r="N30">
        <v>99.2</v>
      </c>
      <c r="O30">
        <v>99.5</v>
      </c>
      <c r="P30">
        <v>99.2</v>
      </c>
      <c r="Q30">
        <v>99.9</v>
      </c>
      <c r="S30">
        <v>97.7</v>
      </c>
      <c r="T30">
        <v>99.5</v>
      </c>
      <c r="U30">
        <v>99.5</v>
      </c>
      <c r="V30">
        <v>98.2</v>
      </c>
      <c r="X30">
        <v>98.4</v>
      </c>
      <c r="Y30">
        <v>98.7</v>
      </c>
      <c r="Z30">
        <v>98.4</v>
      </c>
      <c r="AA30">
        <v>98.6</v>
      </c>
      <c r="AB30">
        <v>98.6</v>
      </c>
      <c r="AD30">
        <f t="shared" si="0"/>
        <v>99.27000000000001</v>
      </c>
      <c r="AE30">
        <f t="shared" si="1"/>
        <v>99.082142857142841</v>
      </c>
      <c r="AF30">
        <f t="shared" si="2"/>
        <v>98.410000000000011</v>
      </c>
      <c r="AH30">
        <f t="shared" si="3"/>
        <v>99.325000000000003</v>
      </c>
      <c r="AI30">
        <f t="shared" si="4"/>
        <v>99.033333333333317</v>
      </c>
      <c r="AJ30">
        <f t="shared" si="5"/>
        <v>98.564285714285717</v>
      </c>
    </row>
    <row r="35" spans="1:39">
      <c r="A35" t="s">
        <v>140</v>
      </c>
      <c r="B35" t="s">
        <v>143</v>
      </c>
      <c r="AL35" s="45" t="s">
        <v>410</v>
      </c>
    </row>
    <row r="36" spans="1:39">
      <c r="A36" t="s">
        <v>141</v>
      </c>
      <c r="B36">
        <v>1.36</v>
      </c>
      <c r="C36">
        <v>0.503</v>
      </c>
      <c r="D36">
        <v>0.24199999999999999</v>
      </c>
      <c r="E36">
        <v>8.8599999999999998E-2</v>
      </c>
      <c r="F36">
        <v>1.96</v>
      </c>
      <c r="G36">
        <v>0.26600000000000001</v>
      </c>
      <c r="H36">
        <v>2.47E-2</v>
      </c>
      <c r="I36" s="13">
        <v>0.38900000000000001</v>
      </c>
      <c r="J36">
        <v>0.28599999999999998</v>
      </c>
      <c r="K36" t="s">
        <v>252</v>
      </c>
      <c r="M36">
        <v>0.32800000000000001</v>
      </c>
      <c r="N36">
        <v>0.78100000000000003</v>
      </c>
      <c r="O36">
        <v>1.64</v>
      </c>
      <c r="P36">
        <v>0.36099999999999999</v>
      </c>
      <c r="Q36">
        <v>0.40300000000000002</v>
      </c>
      <c r="AL36">
        <f>AVERAGE(B36:AB36)</f>
        <v>0.61659285714285716</v>
      </c>
      <c r="AM36" s="45" t="s">
        <v>414</v>
      </c>
    </row>
    <row r="37" spans="1:39">
      <c r="A37" t="s">
        <v>142</v>
      </c>
      <c r="B37">
        <v>7.59</v>
      </c>
      <c r="C37">
        <v>10.4</v>
      </c>
      <c r="D37">
        <v>7.21</v>
      </c>
      <c r="E37">
        <v>4.38</v>
      </c>
      <c r="F37">
        <v>17.600000000000001</v>
      </c>
      <c r="G37">
        <v>3.43</v>
      </c>
      <c r="H37">
        <v>1.07</v>
      </c>
      <c r="I37" s="13">
        <v>7.7</v>
      </c>
      <c r="J37">
        <v>5.88</v>
      </c>
      <c r="M37">
        <v>3.09</v>
      </c>
      <c r="N37">
        <v>6.32</v>
      </c>
      <c r="O37">
        <v>12.1</v>
      </c>
      <c r="P37">
        <v>10.5</v>
      </c>
      <c r="Q37">
        <v>1.76</v>
      </c>
      <c r="AL37">
        <f t="shared" ref="AL37:AL45" si="6">AVERAGE(B37:AB37)</f>
        <v>7.0735714285714293</v>
      </c>
      <c r="AM37" s="45" t="s">
        <v>414</v>
      </c>
    </row>
    <row r="38" spans="1:39">
      <c r="A38" t="s">
        <v>218</v>
      </c>
      <c r="B38">
        <f>B36+B37</f>
        <v>8.9499999999999993</v>
      </c>
      <c r="C38">
        <f t="shared" ref="C38:F38" si="7">C36+C37</f>
        <v>10.903</v>
      </c>
      <c r="D38">
        <f t="shared" si="7"/>
        <v>7.452</v>
      </c>
      <c r="E38">
        <f t="shared" si="7"/>
        <v>4.4685999999999995</v>
      </c>
      <c r="F38">
        <f t="shared" si="7"/>
        <v>19.560000000000002</v>
      </c>
      <c r="G38">
        <f t="shared" ref="G38" si="8">G36+G37</f>
        <v>3.6960000000000002</v>
      </c>
      <c r="H38">
        <f t="shared" ref="H38" si="9">H36+H37</f>
        <v>1.0947</v>
      </c>
      <c r="I38">
        <f t="shared" ref="I38" si="10">I36+I37</f>
        <v>8.0890000000000004</v>
      </c>
      <c r="J38">
        <f t="shared" ref="J38" si="11">J36+J37</f>
        <v>6.1659999999999995</v>
      </c>
      <c r="M38">
        <f t="shared" ref="M38" si="12">M36+M37</f>
        <v>3.4179999999999997</v>
      </c>
      <c r="N38">
        <f t="shared" ref="N38" si="13">N36+N37</f>
        <v>7.101</v>
      </c>
      <c r="O38">
        <f t="shared" ref="O38" si="14">O36+O37</f>
        <v>13.74</v>
      </c>
      <c r="P38">
        <f t="shared" ref="P38" si="15">P36+P37</f>
        <v>10.861000000000001</v>
      </c>
      <c r="Q38">
        <f t="shared" ref="Q38" si="16">Q36+Q37</f>
        <v>2.1630000000000003</v>
      </c>
      <c r="AL38">
        <f t="shared" si="6"/>
        <v>7.6901642857142862</v>
      </c>
      <c r="AM38" s="45" t="s">
        <v>414</v>
      </c>
    </row>
    <row r="39" spans="1:39">
      <c r="A39" t="s">
        <v>144</v>
      </c>
      <c r="B39">
        <v>100</v>
      </c>
      <c r="C39">
        <v>88.3</v>
      </c>
      <c r="D39">
        <v>13.2</v>
      </c>
      <c r="E39">
        <v>12.4</v>
      </c>
      <c r="F39" t="s">
        <v>238</v>
      </c>
      <c r="G39" t="s">
        <v>238</v>
      </c>
      <c r="H39">
        <v>3.01</v>
      </c>
      <c r="I39">
        <v>20.399999999999999</v>
      </c>
      <c r="J39">
        <v>147</v>
      </c>
      <c r="K39">
        <v>110.1</v>
      </c>
      <c r="M39">
        <v>209</v>
      </c>
      <c r="N39">
        <v>67.099999999999994</v>
      </c>
      <c r="O39">
        <v>128</v>
      </c>
      <c r="P39">
        <v>87.9</v>
      </c>
      <c r="Q39">
        <v>12.1</v>
      </c>
      <c r="S39">
        <v>22.8</v>
      </c>
      <c r="U39">
        <v>47.6</v>
      </c>
      <c r="V39">
        <v>57</v>
      </c>
      <c r="X39">
        <v>153</v>
      </c>
      <c r="Y39">
        <v>188</v>
      </c>
      <c r="Z39">
        <v>50.3</v>
      </c>
      <c r="AA39">
        <v>9.44</v>
      </c>
      <c r="AB39">
        <v>17.399999999999999</v>
      </c>
      <c r="AD39">
        <f t="shared" ref="AD39:AD45" si="17">AVERAGE(B39,D39,E39,F39,I39)</f>
        <v>36.5</v>
      </c>
      <c r="AE39">
        <f t="shared" ref="AE39:AE45" si="18">AVERAGE(C39,G39,H39,I39,K39,M39,N39,O39,P39,T39,U39,V39,AA39,AB39)</f>
        <v>70.4375</v>
      </c>
      <c r="AF39">
        <f t="shared" ref="AF39:AF45" si="19">AVERAGE(J39,S39,X39,Y39,Z39)</f>
        <v>112.22</v>
      </c>
      <c r="AH39">
        <f t="shared" si="3"/>
        <v>84.533333333333346</v>
      </c>
      <c r="AI39">
        <f t="shared" si="4"/>
        <v>61.475000000000009</v>
      </c>
      <c r="AJ39">
        <f t="shared" si="5"/>
        <v>79.849999999999994</v>
      </c>
      <c r="AL39">
        <f t="shared" si="6"/>
        <v>73.526190476190479</v>
      </c>
      <c r="AM39" s="45" t="s">
        <v>414</v>
      </c>
    </row>
    <row r="40" spans="1:39">
      <c r="A40" t="s">
        <v>145</v>
      </c>
      <c r="B40">
        <v>306</v>
      </c>
      <c r="C40">
        <v>189</v>
      </c>
      <c r="D40">
        <v>76.5</v>
      </c>
      <c r="E40">
        <v>48.5</v>
      </c>
      <c r="F40" t="s">
        <v>238</v>
      </c>
      <c r="G40" t="s">
        <v>238</v>
      </c>
      <c r="H40">
        <v>23</v>
      </c>
      <c r="I40">
        <v>209</v>
      </c>
      <c r="J40">
        <v>219</v>
      </c>
      <c r="K40">
        <v>637</v>
      </c>
      <c r="M40">
        <v>150</v>
      </c>
      <c r="N40">
        <v>285</v>
      </c>
      <c r="O40">
        <v>270</v>
      </c>
      <c r="P40">
        <v>344</v>
      </c>
      <c r="Q40">
        <v>10.5</v>
      </c>
      <c r="S40">
        <v>198</v>
      </c>
      <c r="T40">
        <v>117</v>
      </c>
      <c r="U40">
        <v>59.2</v>
      </c>
      <c r="V40">
        <v>297</v>
      </c>
      <c r="X40">
        <v>545</v>
      </c>
      <c r="Y40">
        <v>303</v>
      </c>
      <c r="Z40">
        <v>218</v>
      </c>
      <c r="AA40">
        <v>234</v>
      </c>
      <c r="AB40">
        <v>723</v>
      </c>
      <c r="AD40">
        <f t="shared" si="17"/>
        <v>160</v>
      </c>
      <c r="AE40">
        <f t="shared" si="18"/>
        <v>272.09230769230766</v>
      </c>
      <c r="AF40">
        <f t="shared" si="19"/>
        <v>296.60000000000002</v>
      </c>
      <c r="AH40">
        <f t="shared" si="3"/>
        <v>191.33333333333334</v>
      </c>
      <c r="AI40">
        <f t="shared" si="4"/>
        <v>233.13636363636363</v>
      </c>
      <c r="AJ40">
        <f t="shared" si="5"/>
        <v>341.03333333333336</v>
      </c>
      <c r="AL40">
        <f t="shared" si="6"/>
        <v>248.2590909090909</v>
      </c>
      <c r="AM40" s="45" t="s">
        <v>414</v>
      </c>
    </row>
    <row r="41" spans="1:39">
      <c r="A41" t="s">
        <v>146</v>
      </c>
      <c r="B41">
        <v>70.900000000000006</v>
      </c>
      <c r="C41">
        <v>41.6</v>
      </c>
      <c r="D41">
        <v>16</v>
      </c>
      <c r="E41">
        <v>10.9</v>
      </c>
      <c r="F41" t="s">
        <v>238</v>
      </c>
      <c r="G41" t="s">
        <v>238</v>
      </c>
      <c r="H41">
        <v>5.08</v>
      </c>
      <c r="I41">
        <v>53.2</v>
      </c>
      <c r="J41">
        <v>52.8</v>
      </c>
      <c r="K41">
        <v>172</v>
      </c>
      <c r="M41">
        <v>35.4</v>
      </c>
      <c r="N41">
        <v>70.2</v>
      </c>
      <c r="O41">
        <v>61.7</v>
      </c>
      <c r="P41">
        <v>85</v>
      </c>
      <c r="Q41">
        <v>2.66</v>
      </c>
      <c r="S41">
        <v>44.8</v>
      </c>
      <c r="T41">
        <v>30.3</v>
      </c>
      <c r="U41">
        <v>15.6</v>
      </c>
      <c r="V41">
        <v>72.8</v>
      </c>
      <c r="X41">
        <v>134</v>
      </c>
      <c r="Y41">
        <v>77.2</v>
      </c>
      <c r="Z41">
        <v>51.8</v>
      </c>
      <c r="AA41">
        <v>57</v>
      </c>
      <c r="AB41">
        <v>148</v>
      </c>
      <c r="AD41">
        <f t="shared" si="17"/>
        <v>37.75</v>
      </c>
      <c r="AE41">
        <f t="shared" si="18"/>
        <v>65.221538461538458</v>
      </c>
      <c r="AF41">
        <f t="shared" si="19"/>
        <v>72.12</v>
      </c>
      <c r="AH41">
        <f t="shared" si="3"/>
        <v>45.593333333333334</v>
      </c>
      <c r="AI41">
        <f t="shared" si="4"/>
        <v>57.889090909090903</v>
      </c>
      <c r="AJ41">
        <f t="shared" si="5"/>
        <v>78.566666666666677</v>
      </c>
      <c r="AL41">
        <f t="shared" si="6"/>
        <v>59.497272727272723</v>
      </c>
      <c r="AM41" s="45" t="s">
        <v>414</v>
      </c>
    </row>
    <row r="42" spans="1:39">
      <c r="A42" t="s">
        <v>52</v>
      </c>
      <c r="B42">
        <v>1.1100000000000001</v>
      </c>
      <c r="C42">
        <v>0.628</v>
      </c>
      <c r="D42" s="21">
        <f>0.877/2</f>
        <v>0.4385</v>
      </c>
      <c r="E42" s="21">
        <f>0.619/2</f>
        <v>0.3095</v>
      </c>
      <c r="F42" t="s">
        <v>238</v>
      </c>
      <c r="G42" t="s">
        <v>238</v>
      </c>
      <c r="H42" s="21">
        <f>0.514/2</f>
        <v>0.25700000000000001</v>
      </c>
      <c r="I42" s="13">
        <v>0.59799999999999998</v>
      </c>
      <c r="J42">
        <v>0.81200000000000006</v>
      </c>
      <c r="K42">
        <v>2.42</v>
      </c>
      <c r="M42" s="21">
        <f>1.22/2</f>
        <v>0.61</v>
      </c>
      <c r="N42">
        <v>0.57599999999999996</v>
      </c>
      <c r="O42">
        <v>0.40799999999999997</v>
      </c>
      <c r="P42">
        <v>1.79</v>
      </c>
      <c r="Q42" s="21">
        <f>0.81/2</f>
        <v>0.40500000000000003</v>
      </c>
      <c r="S42">
        <v>0.35399999999999998</v>
      </c>
      <c r="T42">
        <v>0.20399999999999999</v>
      </c>
      <c r="U42" s="21">
        <f>0.317/2</f>
        <v>0.1585</v>
      </c>
      <c r="V42">
        <v>1.21</v>
      </c>
      <c r="X42">
        <v>1.79</v>
      </c>
      <c r="Y42">
        <v>1.31</v>
      </c>
      <c r="Z42">
        <v>0.65800000000000003</v>
      </c>
      <c r="AA42">
        <v>0.90100000000000002</v>
      </c>
      <c r="AB42">
        <v>2.52</v>
      </c>
      <c r="AD42">
        <f t="shared" si="17"/>
        <v>0.61399999999999999</v>
      </c>
      <c r="AE42">
        <f t="shared" si="18"/>
        <v>0.94465384615384618</v>
      </c>
      <c r="AF42">
        <f t="shared" si="19"/>
        <v>0.98480000000000012</v>
      </c>
      <c r="AH42">
        <f t="shared" si="3"/>
        <v>0.81025000000000003</v>
      </c>
      <c r="AI42">
        <f t="shared" si="4"/>
        <v>0.8204999999999999</v>
      </c>
      <c r="AJ42">
        <f t="shared" si="5"/>
        <v>1.13175</v>
      </c>
      <c r="AL42">
        <f>AVERAGE(B42:AB42)</f>
        <v>0.88488636363636353</v>
      </c>
      <c r="AM42" s="45" t="s">
        <v>414</v>
      </c>
    </row>
    <row r="43" spans="1:39">
      <c r="A43" t="s">
        <v>54</v>
      </c>
      <c r="B43">
        <v>6.13</v>
      </c>
      <c r="C43">
        <v>1.93</v>
      </c>
      <c r="D43">
        <v>1.45</v>
      </c>
      <c r="E43">
        <v>1.36</v>
      </c>
      <c r="F43" t="s">
        <v>238</v>
      </c>
      <c r="G43" t="s">
        <v>238</v>
      </c>
      <c r="H43" s="13">
        <v>0.64400000000000002</v>
      </c>
      <c r="I43" s="13">
        <v>1.48</v>
      </c>
      <c r="J43">
        <v>1.77</v>
      </c>
      <c r="K43">
        <v>5.68</v>
      </c>
      <c r="M43">
        <v>4.01</v>
      </c>
      <c r="N43">
        <v>1.18</v>
      </c>
      <c r="O43">
        <v>0.57799999999999996</v>
      </c>
      <c r="P43">
        <v>4.26</v>
      </c>
      <c r="Q43" s="21">
        <f>1.62/2</f>
        <v>0.81</v>
      </c>
      <c r="S43">
        <v>0.76900000000000002</v>
      </c>
      <c r="T43" s="21">
        <f>1.97/2</f>
        <v>0.98499999999999999</v>
      </c>
      <c r="U43" s="21">
        <f>0.972/2</f>
        <v>0.48599999999999999</v>
      </c>
      <c r="V43">
        <v>2.5</v>
      </c>
      <c r="X43">
        <v>4.1100000000000003</v>
      </c>
      <c r="Y43">
        <v>3.06</v>
      </c>
      <c r="Z43">
        <v>1.33</v>
      </c>
      <c r="AA43">
        <v>2.4</v>
      </c>
      <c r="AB43">
        <v>5.99</v>
      </c>
      <c r="AD43">
        <f t="shared" si="17"/>
        <v>2.605</v>
      </c>
      <c r="AE43">
        <f t="shared" si="18"/>
        <v>2.4709999999999996</v>
      </c>
      <c r="AF43">
        <f t="shared" si="19"/>
        <v>2.2078000000000002</v>
      </c>
      <c r="AH43">
        <f t="shared" si="3"/>
        <v>2.2680000000000002</v>
      </c>
      <c r="AI43">
        <f t="shared" si="4"/>
        <v>2.3689999999999998</v>
      </c>
      <c r="AJ43">
        <f t="shared" si="5"/>
        <v>2.624166666666667</v>
      </c>
      <c r="AL43">
        <f t="shared" si="6"/>
        <v>2.4050909090909092</v>
      </c>
      <c r="AM43" s="45" t="s">
        <v>414</v>
      </c>
    </row>
    <row r="44" spans="1:39">
      <c r="A44" t="s">
        <v>251</v>
      </c>
      <c r="B44">
        <v>1.1000000000000001</v>
      </c>
      <c r="C44">
        <v>1.4</v>
      </c>
      <c r="D44">
        <v>0.55000000000000004</v>
      </c>
      <c r="E44">
        <v>0.3</v>
      </c>
      <c r="F44">
        <v>2.2000000000000002</v>
      </c>
      <c r="G44">
        <v>0.54</v>
      </c>
      <c r="H44">
        <v>0.16</v>
      </c>
      <c r="I44" s="13">
        <v>1.1000000000000001</v>
      </c>
      <c r="J44">
        <v>0.98</v>
      </c>
      <c r="K44">
        <v>2.2999999999999998</v>
      </c>
      <c r="AD44">
        <f t="shared" si="17"/>
        <v>1.05</v>
      </c>
      <c r="AE44">
        <f t="shared" si="18"/>
        <v>1.1000000000000001</v>
      </c>
      <c r="AF44">
        <f t="shared" si="19"/>
        <v>0.98</v>
      </c>
      <c r="AH44">
        <f t="shared" si="3"/>
        <v>0.55000000000000004</v>
      </c>
      <c r="AI44">
        <f t="shared" si="4"/>
        <v>0.98499999999999999</v>
      </c>
      <c r="AJ44">
        <f t="shared" si="5"/>
        <v>2.2000000000000002</v>
      </c>
      <c r="AL44">
        <f t="shared" si="6"/>
        <v>1.0629999999999999</v>
      </c>
      <c r="AM44" s="45" t="s">
        <v>414</v>
      </c>
    </row>
    <row r="45" spans="1:39">
      <c r="A45" t="s">
        <v>216</v>
      </c>
      <c r="B45">
        <v>46.7</v>
      </c>
      <c r="C45">
        <v>35.5</v>
      </c>
      <c r="D45">
        <v>16.5</v>
      </c>
      <c r="E45">
        <v>8.56</v>
      </c>
      <c r="H45">
        <v>2.58</v>
      </c>
      <c r="I45" s="13">
        <v>30.1</v>
      </c>
      <c r="J45">
        <v>21.1</v>
      </c>
      <c r="K45">
        <v>121</v>
      </c>
      <c r="M45">
        <v>18.7</v>
      </c>
      <c r="N45">
        <v>49.2</v>
      </c>
      <c r="O45">
        <v>34.6</v>
      </c>
      <c r="P45">
        <v>30</v>
      </c>
      <c r="Q45">
        <v>4.42</v>
      </c>
      <c r="S45">
        <v>1.88</v>
      </c>
      <c r="T45">
        <v>9.9499999999999993</v>
      </c>
      <c r="U45">
        <v>4.83</v>
      </c>
      <c r="V45">
        <v>38.5</v>
      </c>
      <c r="X45">
        <v>70</v>
      </c>
      <c r="Y45">
        <v>23</v>
      </c>
      <c r="Z45">
        <v>4.92</v>
      </c>
      <c r="AA45">
        <v>0.46500000000000002</v>
      </c>
      <c r="AB45">
        <v>61.1</v>
      </c>
      <c r="AD45">
        <f t="shared" si="17"/>
        <v>25.465000000000003</v>
      </c>
      <c r="AE45">
        <f t="shared" si="18"/>
        <v>33.57884615384615</v>
      </c>
      <c r="AF45">
        <f t="shared" si="19"/>
        <v>24.18</v>
      </c>
      <c r="AH45">
        <f t="shared" si="3"/>
        <v>23.786666666666672</v>
      </c>
      <c r="AI45">
        <f t="shared" si="4"/>
        <v>33.05954545454545</v>
      </c>
      <c r="AJ45">
        <f t="shared" si="5"/>
        <v>27.621666666666666</v>
      </c>
      <c r="AL45">
        <f t="shared" si="6"/>
        <v>28.80022727272727</v>
      </c>
      <c r="AM45" s="45" t="s">
        <v>414</v>
      </c>
    </row>
    <row r="48" spans="1:39">
      <c r="A48" t="s">
        <v>140</v>
      </c>
      <c r="B48" t="s">
        <v>239</v>
      </c>
      <c r="AD48" s="45" t="s">
        <v>410</v>
      </c>
    </row>
    <row r="49" spans="1:35">
      <c r="A49" t="s">
        <v>249</v>
      </c>
      <c r="B49">
        <f>B39/B$25*453.6/44*0.8495*1000000</f>
        <v>1536.7640619144911</v>
      </c>
      <c r="C49">
        <f t="shared" ref="C49:E49" si="20">C39/C$25*453.6/44*0.8495*1000000</f>
        <v>1380.1816075743404</v>
      </c>
      <c r="D49">
        <f t="shared" si="20"/>
        <v>96.891962909475552</v>
      </c>
      <c r="E49">
        <f t="shared" si="20"/>
        <v>141.59798494254508</v>
      </c>
      <c r="F49" t="s">
        <v>238</v>
      </c>
      <c r="G49" t="s">
        <v>238</v>
      </c>
      <c r="H49">
        <f t="shared" ref="H49:K49" si="21">H39/H$25*453.6/44*0.8495*1000000</f>
        <v>65.409833968791503</v>
      </c>
      <c r="I49">
        <f t="shared" si="21"/>
        <v>202.19435481232401</v>
      </c>
      <c r="J49">
        <f t="shared" si="21"/>
        <v>2204.9062723774086</v>
      </c>
      <c r="K49">
        <f t="shared" si="21"/>
        <v>1430.9823069634383</v>
      </c>
      <c r="M49">
        <f t="shared" ref="M49:Q49" si="22">M39/M$25*453.6/44*0.8495*1000000</f>
        <v>3145.7231098156221</v>
      </c>
      <c r="N49">
        <f t="shared" si="22"/>
        <v>828.7612016077851</v>
      </c>
      <c r="O49">
        <f t="shared" si="22"/>
        <v>1017.512688931146</v>
      </c>
      <c r="P49">
        <f t="shared" si="22"/>
        <v>930.41688298973827</v>
      </c>
      <c r="Q49">
        <f t="shared" si="22"/>
        <v>200.73467400652407</v>
      </c>
      <c r="S49">
        <f t="shared" ref="S49:V49" si="23">S39/S$25*453.6/44*0.8495*1000000</f>
        <v>2706.5817871283293</v>
      </c>
      <c r="T49">
        <f t="shared" si="23"/>
        <v>0</v>
      </c>
      <c r="U49">
        <f t="shared" si="23"/>
        <v>1030.3637927563223</v>
      </c>
      <c r="V49">
        <f t="shared" si="23"/>
        <v>609.93408688525744</v>
      </c>
      <c r="X49">
        <f t="shared" ref="X49:AB49" si="24">X39/X$25*453.6/44*0.8495*1000000</f>
        <v>3953.9091107604636</v>
      </c>
      <c r="Y49">
        <f t="shared" si="24"/>
        <v>3118.9000517673749</v>
      </c>
      <c r="Z49">
        <f t="shared" si="24"/>
        <v>2315.1256782718424</v>
      </c>
      <c r="AA49">
        <f t="shared" si="24"/>
        <v>245.1312261543363</v>
      </c>
      <c r="AB49">
        <f t="shared" si="24"/>
        <v>323.52885134479152</v>
      </c>
      <c r="AD49">
        <f>AVERAGE(B49:AB49)</f>
        <v>1249.3432512673792</v>
      </c>
      <c r="AE49" s="45" t="s">
        <v>411</v>
      </c>
    </row>
    <row r="50" spans="1:35">
      <c r="A50" t="s">
        <v>145</v>
      </c>
      <c r="B50">
        <f>B40/B$25*453.6/16*0.8495*1000000</f>
        <v>12931.86958101044</v>
      </c>
      <c r="C50">
        <f t="shared" ref="C50:V50" si="25">C40/C$25*453.6/16*0.8495*1000000</f>
        <v>8124.0021578342421</v>
      </c>
      <c r="D50">
        <f t="shared" si="25"/>
        <v>1544.2156588697665</v>
      </c>
      <c r="E50">
        <f t="shared" si="25"/>
        <v>1523.0347775574153</v>
      </c>
      <c r="F50" t="s">
        <v>238</v>
      </c>
      <c r="G50" t="s">
        <v>238</v>
      </c>
      <c r="H50">
        <f t="shared" si="25"/>
        <v>1374.4757470186255</v>
      </c>
      <c r="I50">
        <f t="shared" si="25"/>
        <v>5696.6277170776102</v>
      </c>
      <c r="J50">
        <f t="shared" si="25"/>
        <v>9033.3660036686688</v>
      </c>
      <c r="K50">
        <f t="shared" si="25"/>
        <v>22767.695333544078</v>
      </c>
      <c r="M50">
        <f t="shared" si="25"/>
        <v>6208.6640325308335</v>
      </c>
      <c r="N50">
        <f t="shared" si="25"/>
        <v>9680.2025597630654</v>
      </c>
      <c r="O50">
        <f t="shared" si="25"/>
        <v>5902.3685275888747</v>
      </c>
      <c r="P50">
        <f t="shared" si="25"/>
        <v>10013.360310674543</v>
      </c>
      <c r="Q50">
        <f t="shared" si="25"/>
        <v>479.02592660647787</v>
      </c>
      <c r="S50">
        <f t="shared" si="25"/>
        <v>64637.446626814701</v>
      </c>
      <c r="T50">
        <f t="shared" si="25"/>
        <v>4786.2294894007346</v>
      </c>
      <c r="U50">
        <f t="shared" si="25"/>
        <v>3524.0173416119601</v>
      </c>
      <c r="V50">
        <f t="shared" si="25"/>
        <v>8739.713429184807</v>
      </c>
      <c r="X50">
        <f t="shared" ref="X50:AB50" si="26">X40/X$25*453.6/16*0.8495*1000000</f>
        <v>38731.511632367605</v>
      </c>
      <c r="Y50">
        <f t="shared" si="26"/>
        <v>13823.52908582535</v>
      </c>
      <c r="Z50">
        <f t="shared" si="26"/>
        <v>27592.800081987461</v>
      </c>
      <c r="AA50">
        <f t="shared" si="26"/>
        <v>16709.951698126639</v>
      </c>
      <c r="AB50">
        <f t="shared" si="26"/>
        <v>36968.749349786303</v>
      </c>
      <c r="AD50">
        <f t="shared" ref="AD50:AD53" si="27">AVERAGE(B50:AB50)</f>
        <v>14126.9480485841</v>
      </c>
      <c r="AE50" s="45" t="s">
        <v>411</v>
      </c>
    </row>
    <row r="51" spans="1:35">
      <c r="A51" t="s">
        <v>248</v>
      </c>
      <c r="B51">
        <f>B41/B$25*453.6/30*0.8495*1000000</f>
        <v>1598.0297225161489</v>
      </c>
      <c r="C51">
        <f>C41/C$25*453.6/30*0.8495*1000000</f>
        <v>953.67475066216412</v>
      </c>
      <c r="D51">
        <f>D41/D$25*453.6/30*0.8495*1000000</f>
        <v>172.25237850573433</v>
      </c>
      <c r="E51">
        <f>E41/E$25*453.6/30*0.8495*1000000</f>
        <v>182.55482144743175</v>
      </c>
      <c r="H51">
        <f>H41/H$25*453.6/30*0.8495*1000000</f>
        <v>161.90925901112155</v>
      </c>
      <c r="I51">
        <f>I41/I$25*453.6/30*0.8495*1000000</f>
        <v>773.36036886386955</v>
      </c>
      <c r="J51">
        <f>J41/J$25*453.6/30*0.8495*1000000</f>
        <v>1161.5506240333775</v>
      </c>
      <c r="K51">
        <f>K41/K$25*453.6/30*0.8495*1000000</f>
        <v>3278.738752376416</v>
      </c>
      <c r="M51">
        <f>M41/M$25*453.6/30*0.8495*1000000</f>
        <v>781.46384622788082</v>
      </c>
      <c r="N51">
        <f>N41/N$25*453.6/30*0.8495*1000000</f>
        <v>1271.6729257457164</v>
      </c>
      <c r="O51">
        <f>O41/O$25*453.6/30*0.8495*1000000</f>
        <v>719.36027289330093</v>
      </c>
      <c r="P51">
        <f>P41/P$25*453.6/30*0.8495*1000000</f>
        <v>1319.5901184609863</v>
      </c>
      <c r="Q51">
        <f>Q41/Q$25*453.6/30*0.8495*1000000</f>
        <v>64.721725194830782</v>
      </c>
      <c r="S51">
        <f>S41/S$25*453.6/30*0.8495*1000000</f>
        <v>7800.020495303158</v>
      </c>
      <c r="T51">
        <f>T41/T$25*453.6/30*0.8495*1000000</f>
        <v>661.07238075825524</v>
      </c>
      <c r="U51">
        <f>U41/U$25*453.6/30*0.8495*1000000</f>
        <v>495.26730206438344</v>
      </c>
      <c r="V51">
        <f>V41/V$25*453.6/30*0.8495*1000000</f>
        <v>1142.5385187782786</v>
      </c>
      <c r="X51">
        <f>X41/X$25*453.6/30*0.8495*1000000</f>
        <v>5078.9211583973192</v>
      </c>
      <c r="Y51">
        <f>Y41/Y$25*453.6/30*0.8495*1000000</f>
        <v>1878.4183857878409</v>
      </c>
      <c r="Z51">
        <f>Z41/Z$25*453.6/30*0.8495*1000000</f>
        <v>3496.7756434176158</v>
      </c>
      <c r="AA51">
        <f>AA41/AA$25*453.6/30*0.8495*1000000</f>
        <v>2170.8655197566231</v>
      </c>
      <c r="AB51">
        <f>AB41/AB$25*453.6/30*0.8495*1000000</f>
        <v>4036.0534098798507</v>
      </c>
      <c r="AD51">
        <f t="shared" si="27"/>
        <v>1781.7641990946504</v>
      </c>
      <c r="AE51" s="45" t="s">
        <v>411</v>
      </c>
    </row>
    <row r="52" spans="1:35">
      <c r="A52" t="s">
        <v>52</v>
      </c>
      <c r="B52">
        <f>B42/B$25*453.6/78*0.8495*1000000</f>
        <v>9.6225072799876603</v>
      </c>
      <c r="C52">
        <f t="shared" ref="C52:E52" si="28">C42/C$25*453.6/78*0.8495*1000000</f>
        <v>5.537238751995555</v>
      </c>
      <c r="D52">
        <f t="shared" si="28"/>
        <v>1.815689134008762</v>
      </c>
      <c r="E52">
        <f t="shared" si="28"/>
        <v>1.9936738616083318</v>
      </c>
      <c r="H52">
        <f t="shared" ref="H52:K52" si="29">H42/H$25*453.6/78*0.8495*1000000</f>
        <v>3.1504148671909626</v>
      </c>
      <c r="I52">
        <f t="shared" si="29"/>
        <v>3.3434752789227433</v>
      </c>
      <c r="J52">
        <f t="shared" si="29"/>
        <v>6.8704771759550018</v>
      </c>
      <c r="K52">
        <f t="shared" si="29"/>
        <v>17.742727595596882</v>
      </c>
      <c r="M52">
        <f t="shared" ref="M52:Q52" si="30">M42/M$25*453.6/78*0.8495*1000000</f>
        <v>5.1791932442308495</v>
      </c>
      <c r="N52">
        <f t="shared" si="30"/>
        <v>4.0131689964361845</v>
      </c>
      <c r="O52">
        <f t="shared" si="30"/>
        <v>1.8295660849050417</v>
      </c>
      <c r="P52">
        <f t="shared" si="30"/>
        <v>10.688082859932875</v>
      </c>
      <c r="Q52">
        <f t="shared" si="30"/>
        <v>3.7900952434798252</v>
      </c>
      <c r="S52">
        <f t="shared" ref="S52:V52" si="31">S42/S$25*453.6/78*0.8495*1000000</f>
        <v>23.705419431123957</v>
      </c>
      <c r="T52">
        <f t="shared" si="31"/>
        <v>1.7118401329612092</v>
      </c>
      <c r="U52">
        <f t="shared" si="31"/>
        <v>1.9354010694577117</v>
      </c>
      <c r="V52">
        <f t="shared" si="31"/>
        <v>7.3038440813700172</v>
      </c>
      <c r="X52">
        <f t="shared" ref="X52:AB52" si="32">X42/X$25*453.6/78*0.8495*1000000</f>
        <v>26.094342346530429</v>
      </c>
      <c r="Y52">
        <f t="shared" si="32"/>
        <v>12.259506204573892</v>
      </c>
      <c r="Z52">
        <f t="shared" si="32"/>
        <v>17.084039006302284</v>
      </c>
      <c r="AA52">
        <f t="shared" si="32"/>
        <v>13.198042060058819</v>
      </c>
      <c r="AB52">
        <f t="shared" si="32"/>
        <v>26.43153480482647</v>
      </c>
      <c r="AD52">
        <f t="shared" si="27"/>
        <v>9.3318308868843385</v>
      </c>
      <c r="AE52" s="45" t="s">
        <v>411</v>
      </c>
    </row>
    <row r="53" spans="1:35">
      <c r="A53" t="s">
        <v>54</v>
      </c>
      <c r="B53">
        <f>B43/B$25*453.6/92*0.8495*1000000</f>
        <v>45.053913345606141</v>
      </c>
      <c r="C53">
        <f t="shared" ref="C53:E53" si="33">C43/C$25*453.6/92*0.8495*1000000</f>
        <v>14.427719498155129</v>
      </c>
      <c r="D53">
        <f t="shared" si="33"/>
        <v>5.0903386311137533</v>
      </c>
      <c r="E53">
        <f t="shared" si="33"/>
        <v>7.4274398833817461</v>
      </c>
      <c r="H53">
        <f t="shared" ref="H53:V53" si="34">H43/H$25*453.6/92*0.8495*1000000</f>
        <v>6.6930992898298278</v>
      </c>
      <c r="I53">
        <f t="shared" si="34"/>
        <v>7.0156097535051902</v>
      </c>
      <c r="J53">
        <f t="shared" si="34"/>
        <v>12.697286342262094</v>
      </c>
      <c r="K53">
        <f t="shared" si="34"/>
        <v>35.306944097885562</v>
      </c>
      <c r="M53">
        <f t="shared" si="34"/>
        <v>28.865788719360744</v>
      </c>
      <c r="N53">
        <f t="shared" si="34"/>
        <v>6.9703365495166523</v>
      </c>
      <c r="O53">
        <f t="shared" si="34"/>
        <v>2.1974679606739898</v>
      </c>
      <c r="P53">
        <f t="shared" si="34"/>
        <v>21.565679941088753</v>
      </c>
      <c r="Q53">
        <f t="shared" si="34"/>
        <v>6.4266832389440518</v>
      </c>
      <c r="S53">
        <f t="shared" si="34"/>
        <v>43.659373259570046</v>
      </c>
      <c r="T53">
        <f t="shared" si="34"/>
        <v>7.0077087284425472</v>
      </c>
      <c r="U53">
        <f t="shared" si="34"/>
        <v>5.0313526087644309</v>
      </c>
      <c r="V53">
        <f t="shared" si="34"/>
        <v>12.794193279439039</v>
      </c>
      <c r="X53">
        <f t="shared" ref="X53:AB53" si="35">X43/X$25*453.6/92*0.8495*1000000</f>
        <v>50.797451235430685</v>
      </c>
      <c r="Y53">
        <f t="shared" si="35"/>
        <v>24.27894906163041</v>
      </c>
      <c r="Z53">
        <f t="shared" si="35"/>
        <v>29.27676434706289</v>
      </c>
      <c r="AA53">
        <f t="shared" si="35"/>
        <v>29.80593390970191</v>
      </c>
      <c r="AB53">
        <f t="shared" si="35"/>
        <v>53.266656709416075</v>
      </c>
      <c r="AD53">
        <f t="shared" si="27"/>
        <v>20.71166774503553</v>
      </c>
      <c r="AE53" s="45" t="s">
        <v>411</v>
      </c>
    </row>
    <row r="54" spans="1:35">
      <c r="B54" t="s">
        <v>267</v>
      </c>
    </row>
    <row r="55" spans="1:35">
      <c r="A55" t="s">
        <v>251</v>
      </c>
      <c r="B55">
        <f>B44/B$25*453.6</f>
        <v>8.7556657559342398E-4</v>
      </c>
      <c r="C55">
        <f t="shared" ref="C55:K55" si="36">C44/C$25*453.6</f>
        <v>1.1334251915100201E-3</v>
      </c>
      <c r="D55">
        <f t="shared" si="36"/>
        <v>2.0910566843324136E-4</v>
      </c>
      <c r="E55">
        <f t="shared" si="36"/>
        <v>1.774377149026557E-4</v>
      </c>
      <c r="F55">
        <f t="shared" si="36"/>
        <v>9.7902578144391404E-4</v>
      </c>
      <c r="G55">
        <f t="shared" si="36"/>
        <v>3.3083730428863178E-4</v>
      </c>
      <c r="H55">
        <f t="shared" si="36"/>
        <v>1.80088436285676E-4</v>
      </c>
      <c r="I55">
        <f t="shared" si="36"/>
        <v>5.6470396501497326E-4</v>
      </c>
      <c r="J55">
        <f t="shared" si="36"/>
        <v>7.6135668812718049E-4</v>
      </c>
      <c r="K55">
        <f t="shared" si="36"/>
        <v>1.5483319456997457E-3</v>
      </c>
    </row>
    <row r="57" spans="1:35">
      <c r="A57" t="s">
        <v>140</v>
      </c>
      <c r="B57" t="s">
        <v>215</v>
      </c>
      <c r="AD57" t="s">
        <v>186</v>
      </c>
      <c r="AH57" s="45" t="s">
        <v>410</v>
      </c>
    </row>
    <row r="58" spans="1:35">
      <c r="A58" t="s">
        <v>249</v>
      </c>
      <c r="B58">
        <f>B49/(1-B$30/100)</f>
        <v>146358.48208709504</v>
      </c>
      <c r="C58">
        <f t="shared" ref="C58:V62" si="37">C49/(1-C$30/100)</f>
        <v>110414.52860594762</v>
      </c>
      <c r="D58">
        <f t="shared" si="37"/>
        <v>38756.78516379105</v>
      </c>
      <c r="E58">
        <f t="shared" si="37"/>
        <v>40456.56712644206</v>
      </c>
      <c r="H58">
        <f t="shared" si="37"/>
        <v>14535.518659731253</v>
      </c>
      <c r="I58">
        <f t="shared" si="37"/>
        <v>31106.823817280325</v>
      </c>
      <c r="J58">
        <f t="shared" si="37"/>
        <v>191730.98020673008</v>
      </c>
      <c r="K58">
        <f t="shared" si="37"/>
        <v>84175.429821378653</v>
      </c>
      <c r="M58">
        <f t="shared" si="37"/>
        <v>524287.18496927957</v>
      </c>
      <c r="N58">
        <f t="shared" si="37"/>
        <v>103595.15020097305</v>
      </c>
      <c r="O58">
        <f t="shared" si="37"/>
        <v>203502.53778622902</v>
      </c>
      <c r="P58">
        <f t="shared" si="37"/>
        <v>116302.11037371718</v>
      </c>
      <c r="Q58">
        <f t="shared" si="37"/>
        <v>200734.67400654618</v>
      </c>
      <c r="S58">
        <f t="shared" si="37"/>
        <v>117677.46900557943</v>
      </c>
      <c r="T58">
        <f t="shared" si="37"/>
        <v>0</v>
      </c>
      <c r="U58">
        <f t="shared" si="37"/>
        <v>206072.75855126427</v>
      </c>
      <c r="V58">
        <f t="shared" si="37"/>
        <v>33885.22704918094</v>
      </c>
      <c r="X58">
        <f t="shared" ref="X58:AB58" si="38">X49/(1-X$30/100)</f>
        <v>247119.31942253048</v>
      </c>
      <c r="Y58">
        <f t="shared" si="38"/>
        <v>239915.38859749015</v>
      </c>
      <c r="Z58">
        <f t="shared" si="38"/>
        <v>144695.35489199104</v>
      </c>
      <c r="AA58">
        <f t="shared" si="38"/>
        <v>17509.373296738293</v>
      </c>
      <c r="AB58">
        <f t="shared" si="38"/>
        <v>23109.20366748509</v>
      </c>
      <c r="AD58">
        <f>AVERAGE(C58:E58,H58:J58,M58,T58:V58,Y58)</f>
        <v>130105.6147951943</v>
      </c>
      <c r="AE58" t="s">
        <v>270</v>
      </c>
      <c r="AF58">
        <f>AD58+AD59+AD60</f>
        <v>942707.75751171052</v>
      </c>
      <c r="AH58">
        <f>AVERAGE(B58:AB58)</f>
        <v>128906.40305942731</v>
      </c>
      <c r="AI58" t="s">
        <v>270</v>
      </c>
    </row>
    <row r="59" spans="1:35">
      <c r="A59" t="s">
        <v>145</v>
      </c>
      <c r="B59">
        <f>B50/(1-B$30/100)</f>
        <v>1231606.6267629045</v>
      </c>
      <c r="C59">
        <f t="shared" si="37"/>
        <v>649920.1726267417</v>
      </c>
      <c r="D59">
        <f t="shared" si="37"/>
        <v>617686.26354791981</v>
      </c>
      <c r="E59">
        <f t="shared" si="37"/>
        <v>435152.79358783946</v>
      </c>
      <c r="H59">
        <f t="shared" si="37"/>
        <v>305439.05489302386</v>
      </c>
      <c r="I59">
        <f t="shared" si="37"/>
        <v>876404.26416577795</v>
      </c>
      <c r="J59">
        <f t="shared" si="37"/>
        <v>785510.08727553196</v>
      </c>
      <c r="K59">
        <f t="shared" si="37"/>
        <v>1339276.196090827</v>
      </c>
      <c r="M59">
        <f t="shared" si="37"/>
        <v>1034777.3387551572</v>
      </c>
      <c r="N59">
        <f t="shared" si="37"/>
        <v>1210025.3199703821</v>
      </c>
      <c r="O59">
        <f t="shared" si="37"/>
        <v>1180473.705517774</v>
      </c>
      <c r="P59">
        <f t="shared" si="37"/>
        <v>1251670.0388343169</v>
      </c>
      <c r="Q59">
        <f t="shared" si="37"/>
        <v>479025.92660653061</v>
      </c>
      <c r="S59">
        <f t="shared" si="37"/>
        <v>2810323.7663832456</v>
      </c>
      <c r="T59">
        <f t="shared" si="37"/>
        <v>957245.89788014605</v>
      </c>
      <c r="U59">
        <f t="shared" si="37"/>
        <v>704803.46832239139</v>
      </c>
      <c r="V59">
        <f t="shared" si="37"/>
        <v>485539.63495471107</v>
      </c>
      <c r="X59">
        <f t="shared" ref="X59:AB59" si="39">X50/(1-X$30/100)</f>
        <v>2420719.4770229901</v>
      </c>
      <c r="Y59">
        <f t="shared" si="39"/>
        <v>1063348.3912173337</v>
      </c>
      <c r="Z59">
        <f t="shared" si="39"/>
        <v>1724550.0051242267</v>
      </c>
      <c r="AA59">
        <f t="shared" si="39"/>
        <v>1193567.978437616</v>
      </c>
      <c r="AB59">
        <f t="shared" si="39"/>
        <v>2640624.9535561623</v>
      </c>
      <c r="AD59">
        <f>AVERAGE(C59:E59,H59:J59,M59,T59:V59,Y59)</f>
        <v>719620.66974787042</v>
      </c>
      <c r="AE59" t="s">
        <v>270</v>
      </c>
      <c r="AH59">
        <f t="shared" ref="AH59:AH62" si="40">AVERAGE(B59:AB59)</f>
        <v>1154440.5164333431</v>
      </c>
      <c r="AI59" t="s">
        <v>270</v>
      </c>
    </row>
    <row r="60" spans="1:35">
      <c r="A60" t="s">
        <v>248</v>
      </c>
      <c r="B60">
        <f>B51/(1-B$30/100)</f>
        <v>152193.30690630057</v>
      </c>
      <c r="C60">
        <f t="shared" si="37"/>
        <v>76293.980052973406</v>
      </c>
      <c r="D60">
        <f t="shared" si="37"/>
        <v>68900.951402295206</v>
      </c>
      <c r="E60">
        <f t="shared" si="37"/>
        <v>52158.520413552709</v>
      </c>
      <c r="H60">
        <f t="shared" si="37"/>
        <v>35979.83533580431</v>
      </c>
      <c r="I60">
        <f t="shared" si="37"/>
        <v>118978.51828674805</v>
      </c>
      <c r="J60">
        <f t="shared" si="37"/>
        <v>101004.40208985834</v>
      </c>
      <c r="K60">
        <f t="shared" si="37"/>
        <v>192866.98543390664</v>
      </c>
      <c r="M60">
        <f t="shared" si="37"/>
        <v>130243.97437131577</v>
      </c>
      <c r="N60">
        <f t="shared" si="37"/>
        <v>158959.11571821439</v>
      </c>
      <c r="O60">
        <f t="shared" si="37"/>
        <v>143872.05457866006</v>
      </c>
      <c r="P60">
        <f t="shared" si="37"/>
        <v>164948.76480762314</v>
      </c>
      <c r="Q60">
        <f t="shared" si="37"/>
        <v>64721.725194837913</v>
      </c>
      <c r="S60">
        <f t="shared" si="37"/>
        <v>339131.32588274567</v>
      </c>
      <c r="T60">
        <f t="shared" si="37"/>
        <v>132214.47615165092</v>
      </c>
      <c r="U60">
        <f t="shared" si="37"/>
        <v>99053.460412876608</v>
      </c>
      <c r="V60">
        <f t="shared" si="37"/>
        <v>63474.362154348753</v>
      </c>
      <c r="X60">
        <f t="shared" ref="X60:AB60" si="41">X51/(1-X$30/100)</f>
        <v>317432.57239983435</v>
      </c>
      <c r="Y60">
        <f t="shared" si="41"/>
        <v>144493.72198367995</v>
      </c>
      <c r="Z60">
        <f t="shared" si="41"/>
        <v>218548.4777136023</v>
      </c>
      <c r="AA60">
        <f t="shared" si="41"/>
        <v>155061.82283975865</v>
      </c>
      <c r="AB60">
        <f t="shared" si="41"/>
        <v>288289.52927713195</v>
      </c>
      <c r="AD60">
        <f>AVERAGE(C60:E60,H60:J60,M60,T60:V60,Y60)</f>
        <v>92981.472968645801</v>
      </c>
      <c r="AE60" t="s">
        <v>270</v>
      </c>
      <c r="AH60">
        <f t="shared" si="40"/>
        <v>146310.08560944183</v>
      </c>
      <c r="AI60" t="s">
        <v>270</v>
      </c>
    </row>
    <row r="61" spans="1:35">
      <c r="A61" t="s">
        <v>52</v>
      </c>
      <c r="B61">
        <f>B52/(1-B$30/100)</f>
        <v>916.42926476073353</v>
      </c>
      <c r="C61">
        <f t="shared" si="37"/>
        <v>442.97910015964595</v>
      </c>
      <c r="D61" s="21">
        <f t="shared" si="37"/>
        <v>726.27565360352025</v>
      </c>
      <c r="E61" s="21">
        <f t="shared" si="37"/>
        <v>569.62110331667475</v>
      </c>
      <c r="H61" s="21">
        <f t="shared" si="37"/>
        <v>700.09219270909352</v>
      </c>
      <c r="I61">
        <f t="shared" si="37"/>
        <v>514.38081214195563</v>
      </c>
      <c r="J61">
        <f t="shared" si="37"/>
        <v>597.4327979091272</v>
      </c>
      <c r="K61">
        <f t="shared" si="37"/>
        <v>1043.6898585645215</v>
      </c>
      <c r="M61" s="21">
        <f t="shared" si="37"/>
        <v>863.19887403849009</v>
      </c>
      <c r="N61">
        <f t="shared" si="37"/>
        <v>501.6461245545226</v>
      </c>
      <c r="O61">
        <f t="shared" si="37"/>
        <v>365.91321698100802</v>
      </c>
      <c r="P61">
        <f t="shared" si="37"/>
        <v>1336.0103574916081</v>
      </c>
      <c r="Q61" s="21">
        <f t="shared" si="37"/>
        <v>3790.0952434802425</v>
      </c>
      <c r="S61">
        <f t="shared" si="37"/>
        <v>1030.6704100488669</v>
      </c>
      <c r="T61">
        <f t="shared" si="37"/>
        <v>342.36802659224151</v>
      </c>
      <c r="U61">
        <f t="shared" si="37"/>
        <v>387.08021389154203</v>
      </c>
      <c r="V61">
        <f t="shared" si="37"/>
        <v>405.76911563166726</v>
      </c>
      <c r="X61">
        <f t="shared" ref="X61:AB61" si="42">X52/(1-X$30/100)</f>
        <v>1630.8963966581616</v>
      </c>
      <c r="Y61">
        <f t="shared" si="42"/>
        <v>943.03893881337547</v>
      </c>
      <c r="Z61">
        <f t="shared" si="42"/>
        <v>1067.7524378938992</v>
      </c>
      <c r="AA61">
        <f t="shared" si="42"/>
        <v>942.71729000420055</v>
      </c>
      <c r="AB61">
        <f t="shared" si="42"/>
        <v>1887.9667717733175</v>
      </c>
      <c r="AD61">
        <f>AVERAGE(B61:AB61)</f>
        <v>954.8192818644734</v>
      </c>
      <c r="AE61" t="s">
        <v>270</v>
      </c>
      <c r="AH61">
        <f t="shared" si="40"/>
        <v>954.8192818644734</v>
      </c>
      <c r="AI61" t="s">
        <v>270</v>
      </c>
    </row>
    <row r="62" spans="1:35">
      <c r="A62" t="s">
        <v>54</v>
      </c>
      <c r="B62">
        <f>B53/(1-B$30/100)</f>
        <v>4290.8488900577468</v>
      </c>
      <c r="C62">
        <f t="shared" si="37"/>
        <v>1154.2175598524145</v>
      </c>
      <c r="D62">
        <f t="shared" si="37"/>
        <v>2036.1354524455446</v>
      </c>
      <c r="E62">
        <f t="shared" si="37"/>
        <v>2122.125680966245</v>
      </c>
      <c r="H62">
        <f t="shared" si="37"/>
        <v>1487.355397739942</v>
      </c>
      <c r="I62">
        <f t="shared" si="37"/>
        <v>1079.3245774623267</v>
      </c>
      <c r="J62">
        <f t="shared" si="37"/>
        <v>1104.1118558488715</v>
      </c>
      <c r="K62">
        <f t="shared" si="37"/>
        <v>2076.879064581502</v>
      </c>
      <c r="M62">
        <f t="shared" si="37"/>
        <v>4810.9647865602083</v>
      </c>
      <c r="N62">
        <f t="shared" si="37"/>
        <v>871.29206868958079</v>
      </c>
      <c r="O62">
        <f t="shared" si="37"/>
        <v>439.49359213479755</v>
      </c>
      <c r="P62">
        <f t="shared" si="37"/>
        <v>2695.7099926360916</v>
      </c>
      <c r="Q62" s="21">
        <f t="shared" si="37"/>
        <v>6426.68323894476</v>
      </c>
      <c r="S62">
        <f t="shared" si="37"/>
        <v>1898.2336199813046</v>
      </c>
      <c r="T62">
        <f t="shared" si="37"/>
        <v>1401.5417456885082</v>
      </c>
      <c r="U62">
        <f t="shared" si="37"/>
        <v>1006.2705217528853</v>
      </c>
      <c r="V62">
        <f t="shared" si="37"/>
        <v>710.78851552439039</v>
      </c>
      <c r="X62">
        <f t="shared" ref="X62:AB62" si="43">X53/(1-X$30/100)</f>
        <v>3174.840702214437</v>
      </c>
      <c r="Y62">
        <f t="shared" si="43"/>
        <v>1867.6114662792606</v>
      </c>
      <c r="Z62">
        <f t="shared" si="43"/>
        <v>1829.7977716914418</v>
      </c>
      <c r="AA62">
        <f t="shared" si="43"/>
        <v>2128.9952792644203</v>
      </c>
      <c r="AB62">
        <f t="shared" si="43"/>
        <v>3804.7611935297164</v>
      </c>
      <c r="AD62">
        <f>AVERAGE(B62:AB62)</f>
        <v>2200.8174079021087</v>
      </c>
      <c r="AE62" t="s">
        <v>270</v>
      </c>
      <c r="AH62">
        <f t="shared" si="40"/>
        <v>2200.8174079021087</v>
      </c>
      <c r="AI62" t="s">
        <v>270</v>
      </c>
    </row>
    <row r="63" spans="1:35">
      <c r="B63" t="s">
        <v>268</v>
      </c>
    </row>
    <row r="64" spans="1:35">
      <c r="A64" t="s">
        <v>251</v>
      </c>
      <c r="B64">
        <f>B55/(1-B$30/100)</f>
        <v>8.3387292913659788E-2</v>
      </c>
      <c r="C64">
        <f t="shared" ref="C64:K64" si="44">C55/(1-C$30/100)</f>
        <v>9.0674015320801923E-2</v>
      </c>
      <c r="D64">
        <f t="shared" si="44"/>
        <v>8.3642267373298329E-2</v>
      </c>
      <c r="E64">
        <f t="shared" si="44"/>
        <v>5.0696489972188098E-2</v>
      </c>
      <c r="F64">
        <f t="shared" si="44"/>
        <v>7.2520428255104977E-2</v>
      </c>
      <c r="G64">
        <f t="shared" si="44"/>
        <v>6.6167460857726304E-2</v>
      </c>
      <c r="H64">
        <f t="shared" si="44"/>
        <v>4.0019652507927474E-2</v>
      </c>
      <c r="I64">
        <f t="shared" si="44"/>
        <v>8.6877533079225841E-2</v>
      </c>
      <c r="J64">
        <f t="shared" si="44"/>
        <v>6.6204929402363139E-2</v>
      </c>
      <c r="K64">
        <f t="shared" si="44"/>
        <v>9.1078349747043791E-2</v>
      </c>
      <c r="AD64">
        <f t="shared" ref="AD64" si="45">AVERAGE(B64:AB64)</f>
        <v>7.3126841942933965E-2</v>
      </c>
      <c r="AE64" t="s">
        <v>269</v>
      </c>
    </row>
    <row r="66" spans="1:8">
      <c r="B66" t="s">
        <v>112</v>
      </c>
      <c r="C66" t="s">
        <v>214</v>
      </c>
      <c r="D66" t="s">
        <v>144</v>
      </c>
      <c r="E66" t="s">
        <v>145</v>
      </c>
      <c r="F66" t="s">
        <v>146</v>
      </c>
      <c r="G66" t="s">
        <v>52</v>
      </c>
      <c r="H66" t="s">
        <v>54</v>
      </c>
    </row>
    <row r="67" spans="1:8">
      <c r="A67" t="s">
        <v>14</v>
      </c>
      <c r="B67">
        <v>3.28</v>
      </c>
      <c r="C67">
        <v>242</v>
      </c>
      <c r="D67">
        <v>100</v>
      </c>
      <c r="E67">
        <v>306</v>
      </c>
      <c r="F67">
        <v>70.900000000000006</v>
      </c>
      <c r="G67">
        <v>1.1100000000000001</v>
      </c>
      <c r="H67">
        <v>6.13</v>
      </c>
    </row>
    <row r="68" spans="1:8">
      <c r="A68" t="s">
        <v>15</v>
      </c>
      <c r="B68">
        <v>2.34</v>
      </c>
      <c r="C68">
        <v>244</v>
      </c>
      <c r="D68">
        <v>88.3</v>
      </c>
      <c r="E68">
        <v>189</v>
      </c>
      <c r="F68">
        <v>41.6</v>
      </c>
      <c r="G68">
        <v>0.628</v>
      </c>
      <c r="H68">
        <v>1.93</v>
      </c>
    </row>
    <row r="69" spans="1:8">
      <c r="A69" t="s">
        <v>16</v>
      </c>
      <c r="B69">
        <v>3.15</v>
      </c>
      <c r="C69">
        <v>235</v>
      </c>
      <c r="D69">
        <v>13.2</v>
      </c>
      <c r="E69">
        <v>76.5</v>
      </c>
      <c r="F69">
        <v>16</v>
      </c>
      <c r="G69">
        <v>0.4385</v>
      </c>
      <c r="H69">
        <v>1.45</v>
      </c>
    </row>
    <row r="70" spans="1:8">
      <c r="A70" t="s">
        <v>17</v>
      </c>
      <c r="B70">
        <v>3.27</v>
      </c>
      <c r="C70">
        <v>252</v>
      </c>
      <c r="D70">
        <v>12.4</v>
      </c>
      <c r="E70">
        <v>48.5</v>
      </c>
      <c r="F70">
        <v>10.9</v>
      </c>
      <c r="G70">
        <v>0.3095</v>
      </c>
      <c r="H70">
        <v>1.36</v>
      </c>
    </row>
    <row r="71" spans="1:8">
      <c r="A71" t="s">
        <v>226</v>
      </c>
      <c r="B71">
        <v>2.04</v>
      </c>
      <c r="C71">
        <v>248</v>
      </c>
      <c r="D71">
        <v>3.01</v>
      </c>
      <c r="E71">
        <v>23</v>
      </c>
      <c r="F71">
        <v>5.08</v>
      </c>
      <c r="G71">
        <v>0.25700000000000001</v>
      </c>
      <c r="H71">
        <v>0.64400000000000002</v>
      </c>
    </row>
    <row r="72" spans="1:8">
      <c r="A72" t="s">
        <v>227</v>
      </c>
      <c r="B72">
        <v>2.89</v>
      </c>
      <c r="C72">
        <v>257</v>
      </c>
      <c r="D72">
        <v>20.399999999999999</v>
      </c>
      <c r="E72">
        <v>209</v>
      </c>
      <c r="F72">
        <v>53.2</v>
      </c>
      <c r="G72">
        <v>0.59799999999999998</v>
      </c>
      <c r="H72">
        <v>1.48</v>
      </c>
    </row>
    <row r="73" spans="1:8">
      <c r="A73" t="s">
        <v>228</v>
      </c>
      <c r="B73">
        <v>1.83</v>
      </c>
      <c r="C73">
        <v>249</v>
      </c>
      <c r="D73">
        <v>147</v>
      </c>
      <c r="E73">
        <v>219</v>
      </c>
      <c r="F73">
        <v>52.8</v>
      </c>
      <c r="G73">
        <v>0.81200000000000006</v>
      </c>
      <c r="H73">
        <v>1.77</v>
      </c>
    </row>
    <row r="74" spans="1:8">
      <c r="A74" t="s">
        <v>229</v>
      </c>
      <c r="B74">
        <v>2.27</v>
      </c>
      <c r="C74">
        <v>243</v>
      </c>
      <c r="D74">
        <v>110.1</v>
      </c>
      <c r="E74">
        <v>637</v>
      </c>
      <c r="F74">
        <v>172</v>
      </c>
      <c r="G74">
        <v>2.42</v>
      </c>
      <c r="H74">
        <v>5.68</v>
      </c>
    </row>
    <row r="75" spans="1:8">
      <c r="A75" t="s">
        <v>230</v>
      </c>
      <c r="B75">
        <v>2.35</v>
      </c>
      <c r="C75">
        <v>238</v>
      </c>
      <c r="D75">
        <v>209</v>
      </c>
      <c r="E75">
        <v>150</v>
      </c>
      <c r="F75">
        <v>35.4</v>
      </c>
      <c r="G75">
        <v>0.61</v>
      </c>
      <c r="H75">
        <v>4.01</v>
      </c>
    </row>
    <row r="76" spans="1:8">
      <c r="A76" t="s">
        <v>231</v>
      </c>
      <c r="B76">
        <v>2.23</v>
      </c>
      <c r="C76">
        <v>241</v>
      </c>
      <c r="D76">
        <v>67.099999999999994</v>
      </c>
      <c r="E76">
        <v>285</v>
      </c>
      <c r="F76">
        <v>70.2</v>
      </c>
      <c r="G76">
        <v>0.57599999999999996</v>
      </c>
      <c r="H76">
        <v>1.18</v>
      </c>
    </row>
    <row r="77" spans="1:8">
      <c r="A77" t="s">
        <v>232</v>
      </c>
      <c r="B77">
        <v>2.68</v>
      </c>
      <c r="C77" s="24">
        <f>113+100</f>
        <v>213</v>
      </c>
      <c r="D77">
        <v>128</v>
      </c>
      <c r="E77">
        <v>270</v>
      </c>
      <c r="F77">
        <v>61.7</v>
      </c>
      <c r="G77">
        <v>0.40799999999999997</v>
      </c>
      <c r="H77">
        <v>0.57799999999999996</v>
      </c>
    </row>
    <row r="78" spans="1:8">
      <c r="A78" t="s">
        <v>233</v>
      </c>
      <c r="B78">
        <v>2.15</v>
      </c>
      <c r="C78">
        <v>231</v>
      </c>
      <c r="D78">
        <v>87.9</v>
      </c>
      <c r="E78">
        <v>344</v>
      </c>
      <c r="F78">
        <v>85</v>
      </c>
      <c r="G78">
        <v>1.79</v>
      </c>
      <c r="H78">
        <v>4.26</v>
      </c>
    </row>
    <row r="79" spans="1:8">
      <c r="A79" t="s">
        <v>234</v>
      </c>
      <c r="B79">
        <v>3.43</v>
      </c>
      <c r="C79" s="24">
        <f>119+100</f>
        <v>219</v>
      </c>
      <c r="D79">
        <v>12.1</v>
      </c>
      <c r="E79">
        <v>10.5</v>
      </c>
      <c r="F79">
        <v>2.66</v>
      </c>
      <c r="G79">
        <v>0.40500000000000003</v>
      </c>
      <c r="H79">
        <v>0.81</v>
      </c>
    </row>
    <row r="80" spans="1:8">
      <c r="A80" t="s">
        <v>241</v>
      </c>
      <c r="B80">
        <v>1.17</v>
      </c>
      <c r="C80">
        <v>299</v>
      </c>
      <c r="D80">
        <v>22.8</v>
      </c>
      <c r="E80">
        <v>198</v>
      </c>
      <c r="F80">
        <v>44.8</v>
      </c>
      <c r="G80">
        <v>0.35399999999999998</v>
      </c>
      <c r="H80">
        <v>0.76900000000000002</v>
      </c>
    </row>
    <row r="81" spans="1:8">
      <c r="A81" t="s">
        <v>253</v>
      </c>
      <c r="B81">
        <v>2.2000000000000002</v>
      </c>
      <c r="C81">
        <v>268</v>
      </c>
      <c r="E81">
        <v>117</v>
      </c>
      <c r="F81">
        <v>30.3</v>
      </c>
      <c r="G81">
        <v>0.20399999999999999</v>
      </c>
      <c r="H81">
        <v>0.98499999999999999</v>
      </c>
    </row>
    <row r="82" spans="1:8">
      <c r="A82" t="s">
        <v>254</v>
      </c>
      <c r="B82">
        <v>2.4300000000000002</v>
      </c>
      <c r="C82">
        <v>271</v>
      </c>
      <c r="D82">
        <v>47.6</v>
      </c>
      <c r="E82">
        <v>59.2</v>
      </c>
      <c r="F82">
        <v>15.6</v>
      </c>
      <c r="G82">
        <v>0.1585</v>
      </c>
      <c r="H82">
        <v>0.48599999999999999</v>
      </c>
    </row>
    <row r="83" spans="1:8">
      <c r="A83" t="s">
        <v>255</v>
      </c>
      <c r="B83">
        <v>2.09</v>
      </c>
      <c r="C83">
        <v>239</v>
      </c>
      <c r="D83">
        <v>57</v>
      </c>
      <c r="E83">
        <v>297</v>
      </c>
      <c r="F83">
        <v>72.8</v>
      </c>
      <c r="G83">
        <v>1.21</v>
      </c>
      <c r="H83">
        <v>2.5</v>
      </c>
    </row>
    <row r="84" spans="1:8">
      <c r="A84" t="s">
        <v>242</v>
      </c>
      <c r="B84">
        <v>1.8</v>
      </c>
      <c r="C84">
        <v>288</v>
      </c>
      <c r="D84">
        <v>153</v>
      </c>
      <c r="E84">
        <v>545</v>
      </c>
      <c r="F84">
        <v>134</v>
      </c>
      <c r="G84">
        <v>1.79</v>
      </c>
      <c r="H84">
        <v>4.1100000000000003</v>
      </c>
    </row>
    <row r="85" spans="1:8">
      <c r="A85" t="s">
        <v>243</v>
      </c>
      <c r="B85">
        <v>1.1299999999999999</v>
      </c>
      <c r="C85">
        <v>278</v>
      </c>
      <c r="D85">
        <v>188</v>
      </c>
      <c r="E85">
        <v>303</v>
      </c>
      <c r="F85">
        <v>77.2</v>
      </c>
      <c r="G85">
        <v>1.31</v>
      </c>
      <c r="H85">
        <v>3.06</v>
      </c>
    </row>
    <row r="86" spans="1:8">
      <c r="A86" t="s">
        <v>244</v>
      </c>
      <c r="B86">
        <v>1.53</v>
      </c>
      <c r="C86">
        <v>349</v>
      </c>
      <c r="D86">
        <v>50.3</v>
      </c>
      <c r="E86">
        <v>218</v>
      </c>
      <c r="F86">
        <v>51.8</v>
      </c>
      <c r="G86">
        <v>0.65800000000000003</v>
      </c>
      <c r="H86">
        <v>1.33</v>
      </c>
    </row>
    <row r="87" spans="1:8">
      <c r="A87" t="s">
        <v>245</v>
      </c>
      <c r="B87">
        <v>2.16</v>
      </c>
      <c r="C87">
        <v>257</v>
      </c>
      <c r="D87">
        <v>9.44</v>
      </c>
      <c r="E87">
        <v>234</v>
      </c>
      <c r="F87">
        <v>57</v>
      </c>
      <c r="G87">
        <v>0.90100000000000002</v>
      </c>
      <c r="H87">
        <v>2.4</v>
      </c>
    </row>
    <row r="88" spans="1:8">
      <c r="A88" t="s">
        <v>246</v>
      </c>
      <c r="B88">
        <v>2.33</v>
      </c>
      <c r="C88">
        <v>272</v>
      </c>
      <c r="D88">
        <v>17.399999999999999</v>
      </c>
      <c r="E88">
        <v>723</v>
      </c>
      <c r="F88">
        <v>148</v>
      </c>
      <c r="G88">
        <v>2.52</v>
      </c>
      <c r="H88">
        <v>5.99</v>
      </c>
    </row>
    <row r="93" spans="1:8">
      <c r="B93" t="s">
        <v>112</v>
      </c>
      <c r="C93" t="s">
        <v>214</v>
      </c>
      <c r="D93" t="s">
        <v>250</v>
      </c>
    </row>
    <row r="94" spans="1:8">
      <c r="A94" t="s">
        <v>14</v>
      </c>
      <c r="B94">
        <v>3.28</v>
      </c>
      <c r="C94">
        <v>242</v>
      </c>
      <c r="D94">
        <v>1.1000000000000001</v>
      </c>
    </row>
    <row r="95" spans="1:8">
      <c r="A95" t="s">
        <v>15</v>
      </c>
      <c r="B95">
        <v>2.34</v>
      </c>
      <c r="C95">
        <v>244</v>
      </c>
      <c r="D95">
        <v>1.4</v>
      </c>
    </row>
    <row r="96" spans="1:8">
      <c r="A96" t="s">
        <v>16</v>
      </c>
      <c r="B96">
        <v>3.15</v>
      </c>
      <c r="C96">
        <v>235</v>
      </c>
      <c r="D96">
        <v>0.55000000000000004</v>
      </c>
    </row>
    <row r="97" spans="1:7">
      <c r="A97" t="s">
        <v>17</v>
      </c>
      <c r="B97">
        <v>3.27</v>
      </c>
      <c r="C97">
        <v>252</v>
      </c>
      <c r="D97">
        <v>0.3</v>
      </c>
    </row>
    <row r="98" spans="1:7">
      <c r="A98" t="s">
        <v>224</v>
      </c>
      <c r="B98">
        <v>3.08</v>
      </c>
      <c r="C98">
        <v>275</v>
      </c>
      <c r="D98">
        <v>2.2000000000000002</v>
      </c>
    </row>
    <row r="99" spans="1:7">
      <c r="A99" t="s">
        <v>225</v>
      </c>
      <c r="B99">
        <v>2.39</v>
      </c>
      <c r="C99">
        <v>242</v>
      </c>
      <c r="D99">
        <v>0.54</v>
      </c>
    </row>
    <row r="100" spans="1:7">
      <c r="A100" t="s">
        <v>226</v>
      </c>
      <c r="B100">
        <v>2.04</v>
      </c>
      <c r="C100">
        <v>248</v>
      </c>
      <c r="D100">
        <v>0.16</v>
      </c>
    </row>
    <row r="101" spans="1:7">
      <c r="A101" t="s">
        <v>227</v>
      </c>
      <c r="B101">
        <v>2.89</v>
      </c>
      <c r="C101">
        <v>257</v>
      </c>
      <c r="D101">
        <v>1.1000000000000001</v>
      </c>
    </row>
    <row r="102" spans="1:7">
      <c r="A102" t="s">
        <v>228</v>
      </c>
      <c r="B102">
        <v>1.83</v>
      </c>
      <c r="C102">
        <v>249</v>
      </c>
      <c r="D102">
        <v>0.98</v>
      </c>
    </row>
    <row r="103" spans="1:7">
      <c r="A103" t="s">
        <v>229</v>
      </c>
      <c r="B103">
        <v>2.27</v>
      </c>
      <c r="C103">
        <v>243</v>
      </c>
      <c r="D103">
        <v>2.2999999999999998</v>
      </c>
    </row>
    <row r="108" spans="1:7">
      <c r="A108" t="s">
        <v>265</v>
      </c>
      <c r="B108" t="s">
        <v>144</v>
      </c>
      <c r="C108" t="s">
        <v>145</v>
      </c>
      <c r="D108" t="s">
        <v>146</v>
      </c>
      <c r="E108" t="s">
        <v>52</v>
      </c>
      <c r="F108" t="s">
        <v>54</v>
      </c>
      <c r="G108" t="s">
        <v>251</v>
      </c>
    </row>
    <row r="109" spans="1:7">
      <c r="A109">
        <v>230</v>
      </c>
      <c r="B109">
        <v>84.533333333333346</v>
      </c>
      <c r="C109">
        <v>191.33333333333334</v>
      </c>
      <c r="D109">
        <v>45.593333333333334</v>
      </c>
      <c r="E109">
        <v>0.81025000000000003</v>
      </c>
      <c r="F109">
        <v>2.2680000000000002</v>
      </c>
      <c r="G109">
        <v>0.55000000000000004</v>
      </c>
    </row>
    <row r="110" spans="1:7">
      <c r="A110">
        <v>250</v>
      </c>
      <c r="B110">
        <v>61.475000000000009</v>
      </c>
      <c r="C110">
        <v>233.13636363636363</v>
      </c>
      <c r="D110">
        <v>57.889090909090903</v>
      </c>
      <c r="E110">
        <v>0.8204999999999999</v>
      </c>
      <c r="F110">
        <v>2.3689999999999998</v>
      </c>
      <c r="G110">
        <v>0.98499999999999999</v>
      </c>
    </row>
    <row r="111" spans="1:7">
      <c r="A111">
        <v>290</v>
      </c>
      <c r="B111">
        <v>79.849999999999994</v>
      </c>
      <c r="C111">
        <v>341.03333333333336</v>
      </c>
      <c r="D111">
        <v>78.566666666666677</v>
      </c>
      <c r="E111">
        <v>1.13175</v>
      </c>
      <c r="F111">
        <v>2.624166666666667</v>
      </c>
      <c r="G111">
        <v>2.2000000000000002</v>
      </c>
    </row>
    <row r="136" spans="1:7">
      <c r="A136" t="s">
        <v>266</v>
      </c>
      <c r="B136" t="s">
        <v>144</v>
      </c>
      <c r="C136" t="s">
        <v>145</v>
      </c>
      <c r="D136" t="s">
        <v>146</v>
      </c>
      <c r="E136" t="s">
        <v>52</v>
      </c>
      <c r="F136" t="s">
        <v>54</v>
      </c>
      <c r="G136" t="s">
        <v>251</v>
      </c>
    </row>
    <row r="137" spans="1:7">
      <c r="A137">
        <v>3.1339999999999999</v>
      </c>
      <c r="B137">
        <v>36.5</v>
      </c>
      <c r="C137">
        <v>160</v>
      </c>
      <c r="D137">
        <v>37.75</v>
      </c>
      <c r="E137">
        <v>0.61399999999999999</v>
      </c>
      <c r="F137">
        <v>2.605</v>
      </c>
      <c r="G137">
        <v>1.05</v>
      </c>
    </row>
    <row r="138" spans="1:7">
      <c r="A138">
        <v>2.3249999999999997</v>
      </c>
      <c r="B138">
        <v>70.4375</v>
      </c>
      <c r="C138">
        <v>272.09230769230766</v>
      </c>
      <c r="D138">
        <v>65.221538461538458</v>
      </c>
      <c r="E138">
        <v>0.94465384615384618</v>
      </c>
      <c r="F138">
        <v>2.4709999999999996</v>
      </c>
      <c r="G138">
        <v>1.1000000000000001</v>
      </c>
    </row>
    <row r="139" spans="1:7">
      <c r="A139">
        <v>1.492</v>
      </c>
      <c r="B139">
        <v>112.22</v>
      </c>
      <c r="C139">
        <v>296.60000000000002</v>
      </c>
      <c r="D139">
        <v>72.12</v>
      </c>
      <c r="E139">
        <v>0.98480000000000012</v>
      </c>
      <c r="F139">
        <v>2.2078000000000002</v>
      </c>
      <c r="G139">
        <v>0.98</v>
      </c>
    </row>
    <row r="163" spans="3:3">
      <c r="C163">
        <v>690</v>
      </c>
    </row>
    <row r="164" spans="3:3">
      <c r="C164">
        <v>874</v>
      </c>
    </row>
    <row r="165" spans="3:3">
      <c r="C165">
        <v>1324</v>
      </c>
    </row>
    <row r="166" spans="3:3">
      <c r="C166">
        <v>846</v>
      </c>
    </row>
    <row r="167" spans="3:3">
      <c r="C167">
        <v>663</v>
      </c>
    </row>
    <row r="168" spans="3:3">
      <c r="C168">
        <v>454</v>
      </c>
    </row>
    <row r="169" spans="3:3">
      <c r="C169">
        <v>266</v>
      </c>
    </row>
    <row r="170" spans="3:3">
      <c r="C170">
        <v>666</v>
      </c>
    </row>
    <row r="171" spans="3:3">
      <c r="C171">
        <v>411</v>
      </c>
    </row>
    <row r="172" spans="3:3">
      <c r="C172">
        <v>466</v>
      </c>
    </row>
    <row r="173" spans="3:3">
      <c r="C173">
        <v>592</v>
      </c>
    </row>
    <row r="174" spans="3:3">
      <c r="C174">
        <v>1138</v>
      </c>
    </row>
    <row r="175" spans="3:3">
      <c r="C175">
        <v>729</v>
      </c>
    </row>
    <row r="176" spans="3:3">
      <c r="C176">
        <v>2555</v>
      </c>
    </row>
    <row r="178" spans="1:30">
      <c r="C178">
        <f>AVERAGE(C163:C176)</f>
        <v>833.85714285714289</v>
      </c>
      <c r="D178" t="s">
        <v>391</v>
      </c>
    </row>
    <row r="179" spans="1:30">
      <c r="C179">
        <f>C178/64.79891</f>
        <v>12.868382243731304</v>
      </c>
      <c r="D179" t="s">
        <v>392</v>
      </c>
    </row>
    <row r="181" spans="1:30">
      <c r="A181" s="3" t="s">
        <v>497</v>
      </c>
    </row>
    <row r="182" spans="1:30">
      <c r="B182" s="2" t="s">
        <v>14</v>
      </c>
      <c r="C182" s="2" t="s">
        <v>15</v>
      </c>
      <c r="D182" s="2" t="s">
        <v>16</v>
      </c>
      <c r="E182" s="2" t="s">
        <v>17</v>
      </c>
      <c r="F182" s="2" t="s">
        <v>224</v>
      </c>
      <c r="G182" s="2" t="s">
        <v>225</v>
      </c>
      <c r="H182" s="2" t="s">
        <v>226</v>
      </c>
      <c r="I182" s="2" t="s">
        <v>227</v>
      </c>
      <c r="J182" s="2" t="s">
        <v>228</v>
      </c>
      <c r="K182" s="2" t="s">
        <v>229</v>
      </c>
      <c r="M182" s="2" t="s">
        <v>230</v>
      </c>
      <c r="N182" s="2" t="s">
        <v>231</v>
      </c>
      <c r="O182" s="2" t="s">
        <v>232</v>
      </c>
      <c r="P182" s="2" t="s">
        <v>233</v>
      </c>
      <c r="Q182" s="2" t="s">
        <v>234</v>
      </c>
      <c r="S182" s="2" t="s">
        <v>241</v>
      </c>
      <c r="T182" s="2" t="s">
        <v>253</v>
      </c>
      <c r="U182" s="2" t="s">
        <v>254</v>
      </c>
      <c r="V182" s="2" t="s">
        <v>255</v>
      </c>
      <c r="X182" s="2" t="s">
        <v>242</v>
      </c>
      <c r="Y182" s="2" t="s">
        <v>243</v>
      </c>
      <c r="Z182" s="2" t="s">
        <v>244</v>
      </c>
      <c r="AA182" s="2" t="s">
        <v>245</v>
      </c>
      <c r="AB182" s="2" t="s">
        <v>246</v>
      </c>
      <c r="AD182" s="45" t="s">
        <v>186</v>
      </c>
    </row>
    <row r="183" spans="1:30">
      <c r="A183" s="45" t="s">
        <v>494</v>
      </c>
      <c r="B183">
        <f>B25*(B30/100)</f>
        <v>563887.35450000002</v>
      </c>
      <c r="C183">
        <f t="shared" ref="C183:AB183" si="46">C25*(C30/100)</f>
        <v>553280.45000000007</v>
      </c>
      <c r="D183">
        <f t="shared" si="46"/>
        <v>1190098.2975000001</v>
      </c>
      <c r="E183">
        <f t="shared" si="46"/>
        <v>764232.7905</v>
      </c>
      <c r="F183">
        <f t="shared" si="46"/>
        <v>1005538.4635000001</v>
      </c>
      <c r="G183">
        <f t="shared" si="46"/>
        <v>736674.12</v>
      </c>
      <c r="H183">
        <f t="shared" si="46"/>
        <v>401188.49099999998</v>
      </c>
      <c r="I183">
        <f t="shared" si="46"/>
        <v>877834.7429999999</v>
      </c>
      <c r="J183">
        <f t="shared" si="46"/>
        <v>577148.57549999992</v>
      </c>
      <c r="K183">
        <f t="shared" si="46"/>
        <v>662354.24699999997</v>
      </c>
      <c r="M183">
        <f t="shared" si="46"/>
        <v>578356.91200000001</v>
      </c>
      <c r="N183">
        <f t="shared" si="46"/>
        <v>703377.6</v>
      </c>
      <c r="O183">
        <f t="shared" si="46"/>
        <v>1096167.6199999999</v>
      </c>
      <c r="P183">
        <f t="shared" si="46"/>
        <v>820742.11199999996</v>
      </c>
      <c r="Q183">
        <f t="shared" si="46"/>
        <v>527366.10600000003</v>
      </c>
      <c r="S183">
        <f t="shared" si="46"/>
        <v>72076.221000000005</v>
      </c>
      <c r="T183">
        <f t="shared" si="46"/>
        <v>585776.4</v>
      </c>
      <c r="U183">
        <f t="shared" si="46"/>
        <v>402553.12</v>
      </c>
      <c r="V183">
        <f t="shared" si="46"/>
        <v>803687.45799999998</v>
      </c>
      <c r="X183">
        <f t="shared" si="46"/>
        <v>333459.88800000004</v>
      </c>
      <c r="Y183">
        <f t="shared" si="46"/>
        <v>521023.48200000002</v>
      </c>
      <c r="Z183">
        <f t="shared" si="46"/>
        <v>187228.63200000001</v>
      </c>
      <c r="AA183">
        <f t="shared" si="46"/>
        <v>332532.44400000002</v>
      </c>
      <c r="AB183">
        <f t="shared" si="46"/>
        <v>464405.01399999997</v>
      </c>
      <c r="AD183">
        <f>AVERAGE(B183:AB183)</f>
        <v>615041.27256250009</v>
      </c>
    </row>
    <row r="184" spans="1:30">
      <c r="A184" s="45" t="s">
        <v>495</v>
      </c>
      <c r="B184">
        <f>B183/849.5*18*2.2046</f>
        <v>26340.940684111363</v>
      </c>
      <c r="C184">
        <f t="shared" ref="C184:E184" si="47">C183/849.5*18*2.2046</f>
        <v>25845.459024437911</v>
      </c>
      <c r="D184">
        <f t="shared" si="47"/>
        <v>55593.210971198365</v>
      </c>
      <c r="E184">
        <f t="shared" si="47"/>
        <v>35699.702152858627</v>
      </c>
      <c r="F184">
        <f t="shared" ref="F184" si="48">F183/849.5*18*2.2046</f>
        <v>46971.844307684289</v>
      </c>
      <c r="G184">
        <f t="shared" ref="G184" si="49">G183/849.5*18*2.2046</f>
        <v>34412.350522820481</v>
      </c>
      <c r="H184">
        <f t="shared" ref="H184" si="50">H183/849.5*18*2.2046</f>
        <v>18740.768276226958</v>
      </c>
      <c r="I184">
        <f t="shared" ref="I184" si="51">I183/849.5*18*2.2046</f>
        <v>41006.404402025182</v>
      </c>
      <c r="J184">
        <f t="shared" ref="J184" si="52">J183/849.5*18*2.2046</f>
        <v>26960.4137632153</v>
      </c>
      <c r="K184">
        <f t="shared" ref="K184" si="53">K183/849.5*18*2.2046</f>
        <v>30940.636978047794</v>
      </c>
      <c r="M184">
        <f t="shared" ref="M184" si="54">M183/849.5*18*2.2046</f>
        <v>27016.858937626366</v>
      </c>
      <c r="N184">
        <f t="shared" ref="N184" si="55">N183/849.5*18*2.2046</f>
        <v>32856.96600974691</v>
      </c>
      <c r="O184">
        <f t="shared" ref="O184" si="56">O183/849.5*18*2.2046</f>
        <v>51205.4154572525</v>
      </c>
      <c r="P184">
        <f t="shared" ref="P184" si="57">P183/849.5*18*2.2046</f>
        <v>38339.429172541022</v>
      </c>
      <c r="Q184">
        <f t="shared" ref="Q184" si="58">Q183/849.5*18*2.2046</f>
        <v>24634.919024339972</v>
      </c>
      <c r="S184">
        <f t="shared" ref="S184" si="59">S183/849.5*18*2.2046</f>
        <v>3366.9055476148324</v>
      </c>
      <c r="T184">
        <f t="shared" ref="T184" si="60">T183/849.5*18*2.2046</f>
        <v>27363.446410735731</v>
      </c>
      <c r="U184">
        <f t="shared" ref="U184" si="61">U183/849.5*18*2.2046</f>
        <v>18804.514361784579</v>
      </c>
      <c r="V184">
        <f t="shared" ref="V184" si="62">V183/849.5*18*2.2046</f>
        <v>37542.75298213349</v>
      </c>
      <c r="X184">
        <f t="shared" ref="X184" si="63">X183/849.5*18*2.2046</f>
        <v>15576.953553297708</v>
      </c>
      <c r="Y184">
        <f t="shared" ref="Y184" si="64">Y183/849.5*18*2.2046</f>
        <v>24338.635234266745</v>
      </c>
      <c r="Z184">
        <f t="shared" ref="Z184" si="65">Z183/849.5*18*2.2046</f>
        <v>8746.0345590695706</v>
      </c>
      <c r="AA184">
        <f t="shared" ref="AA184" si="66">AA183/849.5*18*2.2046</f>
        <v>15533.629745454033</v>
      </c>
      <c r="AB184">
        <f t="shared" ref="AB184" si="67">AB183/849.5*18*2.2046</f>
        <v>21693.809640446379</v>
      </c>
      <c r="AD184">
        <f t="shared" ref="AD184:AD206" si="68">AVERAGE(B184:AB184)</f>
        <v>28730.50007162234</v>
      </c>
    </row>
    <row r="185" spans="1:30">
      <c r="A185" s="45" t="s">
        <v>496</v>
      </c>
    </row>
    <row r="186" spans="1:30">
      <c r="A186" s="91" t="s">
        <v>145</v>
      </c>
      <c r="B186">
        <f>B40/B184</f>
        <v>1.1616897197015317E-2</v>
      </c>
      <c r="C186">
        <f t="shared" ref="C186:AB186" si="69">C40/C184</f>
        <v>7.3126965870984519E-3</v>
      </c>
      <c r="D186">
        <f t="shared" si="69"/>
        <v>1.3760673050461681E-3</v>
      </c>
      <c r="E186">
        <f t="shared" si="69"/>
        <v>1.3585547518669256E-3</v>
      </c>
      <c r="F186" s="45" t="s">
        <v>407</v>
      </c>
      <c r="G186" s="45" t="s">
        <v>407</v>
      </c>
      <c r="H186">
        <f t="shared" si="69"/>
        <v>1.2272709240621668E-3</v>
      </c>
      <c r="I186">
        <f t="shared" si="69"/>
        <v>5.0967648358283789E-3</v>
      </c>
      <c r="J186">
        <f t="shared" si="69"/>
        <v>8.1230207341551584E-3</v>
      </c>
      <c r="K186">
        <f t="shared" si="69"/>
        <v>2.0587811442018725E-2</v>
      </c>
      <c r="M186">
        <f t="shared" si="69"/>
        <v>5.5520888030064471E-3</v>
      </c>
      <c r="N186">
        <f t="shared" si="69"/>
        <v>8.673959729436239E-3</v>
      </c>
      <c r="O186">
        <f t="shared" si="69"/>
        <v>5.2728797840806982E-3</v>
      </c>
      <c r="P186">
        <f t="shared" si="69"/>
        <v>8.9724862217399753E-3</v>
      </c>
      <c r="Q186">
        <f t="shared" si="69"/>
        <v>4.2622425466979264E-4</v>
      </c>
      <c r="S186">
        <f t="shared" si="69"/>
        <v>5.8807708502623797E-2</v>
      </c>
      <c r="T186">
        <f t="shared" si="69"/>
        <v>4.2757771898972643E-3</v>
      </c>
      <c r="U186">
        <f t="shared" si="69"/>
        <v>3.1481802114660846E-3</v>
      </c>
      <c r="V186">
        <f t="shared" si="69"/>
        <v>7.9109808527185431E-3</v>
      </c>
      <c r="X186">
        <f t="shared" si="69"/>
        <v>3.4987585867495966E-2</v>
      </c>
      <c r="Y186">
        <f t="shared" si="69"/>
        <v>1.2449342252905025E-2</v>
      </c>
      <c r="Z186">
        <f t="shared" si="69"/>
        <v>2.4925581819698582E-2</v>
      </c>
      <c r="AA186">
        <f t="shared" si="69"/>
        <v>1.5064090224532412E-2</v>
      </c>
      <c r="AB186">
        <f t="shared" si="69"/>
        <v>3.3327479681209339E-2</v>
      </c>
      <c r="AD186">
        <f t="shared" si="68"/>
        <v>1.2749702235116888E-2</v>
      </c>
    </row>
    <row r="187" spans="1:30">
      <c r="A187" s="91" t="s">
        <v>146</v>
      </c>
      <c r="B187">
        <f>B41/B184</f>
        <v>2.6916274878051828E-3</v>
      </c>
      <c r="C187">
        <f t="shared" ref="C187:AB187" si="70">C41/C184</f>
        <v>1.6095670794883366E-3</v>
      </c>
      <c r="D187">
        <f t="shared" si="70"/>
        <v>2.8780492654560376E-4</v>
      </c>
      <c r="E187">
        <f t="shared" si="70"/>
        <v>3.0532467619277299E-4</v>
      </c>
      <c r="F187" s="45" t="s">
        <v>407</v>
      </c>
      <c r="G187" s="45" t="s">
        <v>407</v>
      </c>
      <c r="H187">
        <f t="shared" si="70"/>
        <v>2.7106679540155683E-4</v>
      </c>
      <c r="I187">
        <f t="shared" si="70"/>
        <v>1.2973583218472238E-3</v>
      </c>
      <c r="J187">
        <f t="shared" si="70"/>
        <v>1.9584269167278192E-3</v>
      </c>
      <c r="K187">
        <f t="shared" si="70"/>
        <v>5.5590322888967357E-3</v>
      </c>
      <c r="M187">
        <f t="shared" si="70"/>
        <v>1.3102929575095213E-3</v>
      </c>
      <c r="N187">
        <f t="shared" si="70"/>
        <v>2.1365332386190316E-3</v>
      </c>
      <c r="O187">
        <f t="shared" si="70"/>
        <v>1.2049506765843669E-3</v>
      </c>
      <c r="P187">
        <f t="shared" si="70"/>
        <v>2.2170387466508663E-3</v>
      </c>
      <c r="Q187">
        <f t="shared" si="70"/>
        <v>1.0797681118301415E-4</v>
      </c>
      <c r="S187">
        <f t="shared" si="70"/>
        <v>1.3305986570290635E-2</v>
      </c>
      <c r="T187">
        <f t="shared" si="70"/>
        <v>1.10731665687083E-3</v>
      </c>
      <c r="U187">
        <f t="shared" si="70"/>
        <v>8.2958802869714386E-4</v>
      </c>
      <c r="V187">
        <f t="shared" si="70"/>
        <v>1.9391225793869019E-3</v>
      </c>
      <c r="X187">
        <f t="shared" si="70"/>
        <v>8.6024523050357068E-3</v>
      </c>
      <c r="Y187">
        <f t="shared" si="70"/>
        <v>3.1719116235124356E-3</v>
      </c>
      <c r="Z187">
        <f t="shared" si="70"/>
        <v>5.9226841204604889E-3</v>
      </c>
      <c r="AA187">
        <f t="shared" si="70"/>
        <v>3.6694578752066134E-3</v>
      </c>
      <c r="AB187">
        <f t="shared" si="70"/>
        <v>6.822222673331926E-3</v>
      </c>
      <c r="AD187">
        <f t="shared" si="68"/>
        <v>3.0148974252838506E-3</v>
      </c>
    </row>
    <row r="188" spans="1:30">
      <c r="A188" s="91" t="s">
        <v>193</v>
      </c>
      <c r="B188">
        <f>B39/B184</f>
        <v>3.7963716330115414E-3</v>
      </c>
      <c r="C188">
        <f t="shared" ref="C188:AB188" si="71">C39/C184</f>
        <v>3.4164608922793295E-3</v>
      </c>
      <c r="D188">
        <f t="shared" si="71"/>
        <v>2.3743906440012311E-4</v>
      </c>
      <c r="E188">
        <f t="shared" si="71"/>
        <v>3.4734183346700779E-4</v>
      </c>
      <c r="F188" s="45" t="s">
        <v>407</v>
      </c>
      <c r="G188" s="45" t="s">
        <v>407</v>
      </c>
      <c r="H188">
        <f t="shared" si="71"/>
        <v>1.6061241223596181E-4</v>
      </c>
      <c r="I188">
        <f t="shared" si="71"/>
        <v>4.9748326627224368E-4</v>
      </c>
      <c r="J188">
        <f t="shared" si="71"/>
        <v>5.4524385749808602E-3</v>
      </c>
      <c r="K188">
        <f t="shared" si="71"/>
        <v>3.5584270639972704E-3</v>
      </c>
      <c r="M188">
        <f t="shared" si="71"/>
        <v>7.7359103988556494E-3</v>
      </c>
      <c r="N188">
        <f t="shared" si="71"/>
        <v>2.0421849047199004E-3</v>
      </c>
      <c r="O188">
        <f t="shared" si="71"/>
        <v>2.4997356013419605E-3</v>
      </c>
      <c r="P188">
        <f t="shared" si="71"/>
        <v>2.2926788921248369E-3</v>
      </c>
      <c r="Q188">
        <f t="shared" si="71"/>
        <v>4.9117271252423721E-4</v>
      </c>
      <c r="S188">
        <f t="shared" si="71"/>
        <v>6.7717967366657701E-3</v>
      </c>
      <c r="T188">
        <f t="shared" si="71"/>
        <v>0</v>
      </c>
      <c r="U188">
        <f t="shared" si="71"/>
        <v>2.5313070619220547E-3</v>
      </c>
      <c r="V188">
        <f t="shared" si="71"/>
        <v>1.5182690525419424E-3</v>
      </c>
      <c r="X188">
        <f t="shared" si="71"/>
        <v>9.8222030050034558E-3</v>
      </c>
      <c r="Y188">
        <f t="shared" si="71"/>
        <v>7.7243443681390923E-3</v>
      </c>
      <c r="Z188">
        <f t="shared" si="71"/>
        <v>5.751177823535957E-3</v>
      </c>
      <c r="AA188">
        <f t="shared" si="71"/>
        <v>6.0771372529737594E-4</v>
      </c>
      <c r="AB188">
        <f t="shared" si="71"/>
        <v>8.0207212510794259E-4</v>
      </c>
      <c r="AD188">
        <f t="shared" si="68"/>
        <v>3.0935064158374779E-3</v>
      </c>
    </row>
    <row r="189" spans="1:30">
      <c r="A189" s="91" t="s">
        <v>52</v>
      </c>
      <c r="B189">
        <f>B42/B184</f>
        <v>4.2139725126428111E-5</v>
      </c>
      <c r="C189">
        <f t="shared" ref="C189:AB189" si="72">C42/C184</f>
        <v>2.4298272257660464E-5</v>
      </c>
      <c r="D189">
        <f t="shared" si="72"/>
        <v>7.8876537681404532E-6</v>
      </c>
      <c r="E189">
        <f t="shared" si="72"/>
        <v>8.6695401175837822E-6</v>
      </c>
      <c r="F189" s="45" t="s">
        <v>407</v>
      </c>
      <c r="G189" s="45" t="s">
        <v>407</v>
      </c>
      <c r="H189">
        <f t="shared" si="72"/>
        <v>1.3713418586259864E-5</v>
      </c>
      <c r="I189">
        <f t="shared" si="72"/>
        <v>1.4583087903470673E-5</v>
      </c>
      <c r="J189">
        <f t="shared" si="72"/>
        <v>3.0118232128465706E-5</v>
      </c>
      <c r="K189">
        <f t="shared" si="72"/>
        <v>7.8214291506570341E-5</v>
      </c>
      <c r="M189">
        <f t="shared" si="72"/>
        <v>2.2578494465559551E-5</v>
      </c>
      <c r="N189">
        <f t="shared" si="72"/>
        <v>1.7530529137386925E-5</v>
      </c>
      <c r="O189">
        <f t="shared" si="72"/>
        <v>7.9679072292774984E-6</v>
      </c>
      <c r="P189">
        <f t="shared" si="72"/>
        <v>4.6688227723588831E-5</v>
      </c>
      <c r="Q189">
        <f t="shared" si="72"/>
        <v>1.6440078394406288E-5</v>
      </c>
      <c r="S189">
        <f t="shared" si="72"/>
        <v>1.0514105459560011E-4</v>
      </c>
      <c r="T189">
        <f t="shared" si="72"/>
        <v>7.4552012541798445E-6</v>
      </c>
      <c r="U189">
        <f t="shared" si="72"/>
        <v>8.428827086442135E-6</v>
      </c>
      <c r="V189">
        <f t="shared" si="72"/>
        <v>3.2229921992557021E-5</v>
      </c>
      <c r="X189">
        <f t="shared" si="72"/>
        <v>1.1491335541801429E-4</v>
      </c>
      <c r="Y189">
        <f t="shared" si="72"/>
        <v>5.3823888948203252E-5</v>
      </c>
      <c r="Z189">
        <f t="shared" si="72"/>
        <v>7.5234095584227834E-5</v>
      </c>
      <c r="AA189">
        <f t="shared" si="72"/>
        <v>5.8003185009844887E-5</v>
      </c>
      <c r="AB189">
        <f t="shared" si="72"/>
        <v>1.1616216984321927E-4</v>
      </c>
      <c r="AD189">
        <f t="shared" si="68"/>
        <v>4.1010052639867592E-5</v>
      </c>
    </row>
    <row r="190" spans="1:30">
      <c r="A190" s="91" t="s">
        <v>54</v>
      </c>
      <c r="B190">
        <f>B43/B184</f>
        <v>2.3271758110360747E-4</v>
      </c>
      <c r="C190">
        <f t="shared" ref="C190:AB190" si="73">C43/C184</f>
        <v>7.4674626524338686E-5</v>
      </c>
      <c r="D190">
        <f t="shared" si="73"/>
        <v>2.6082321468195344E-5</v>
      </c>
      <c r="E190">
        <f t="shared" si="73"/>
        <v>3.8095555928639563E-5</v>
      </c>
      <c r="F190" s="45" t="s">
        <v>407</v>
      </c>
      <c r="G190" s="45" t="s">
        <v>407</v>
      </c>
      <c r="H190">
        <f t="shared" si="73"/>
        <v>3.4363585873740672E-5</v>
      </c>
      <c r="I190">
        <f t="shared" si="73"/>
        <v>3.6091923239358855E-5</v>
      </c>
      <c r="J190">
        <f t="shared" si="73"/>
        <v>6.5651811413034851E-5</v>
      </c>
      <c r="K190">
        <f t="shared" si="73"/>
        <v>1.8357734535426426E-4</v>
      </c>
      <c r="M190">
        <f t="shared" si="73"/>
        <v>1.4842584066703901E-4</v>
      </c>
      <c r="N190">
        <f t="shared" si="73"/>
        <v>3.5913236774507932E-5</v>
      </c>
      <c r="O190">
        <f t="shared" si="73"/>
        <v>1.128786857480979E-5</v>
      </c>
      <c r="P190">
        <f t="shared" si="73"/>
        <v>1.1111276542038457E-4</v>
      </c>
      <c r="Q190">
        <f t="shared" si="73"/>
        <v>3.2880156788812575E-5</v>
      </c>
      <c r="S190">
        <f t="shared" si="73"/>
        <v>2.2839963554806918E-4</v>
      </c>
      <c r="T190">
        <f t="shared" si="73"/>
        <v>3.5996927624348759E-5</v>
      </c>
      <c r="U190">
        <f t="shared" si="73"/>
        <v>2.5844857817103329E-5</v>
      </c>
      <c r="V190">
        <f t="shared" si="73"/>
        <v>6.6590747918506246E-5</v>
      </c>
      <c r="X190">
        <f t="shared" si="73"/>
        <v>2.6385133562460266E-4</v>
      </c>
      <c r="Y190">
        <f t="shared" si="73"/>
        <v>1.2572603067290226E-4</v>
      </c>
      <c r="Z190">
        <f t="shared" si="73"/>
        <v>1.5206891660641796E-4</v>
      </c>
      <c r="AA190">
        <f t="shared" si="73"/>
        <v>1.5450348948238372E-4</v>
      </c>
      <c r="AB190">
        <f t="shared" si="73"/>
        <v>2.7611563387336646E-4</v>
      </c>
      <c r="AD190">
        <f t="shared" si="68"/>
        <v>1.0727146337720156E-4</v>
      </c>
    </row>
    <row r="191" spans="1:30">
      <c r="A191" s="92" t="s">
        <v>339</v>
      </c>
      <c r="B191" s="45" t="s">
        <v>407</v>
      </c>
      <c r="C191" s="45" t="s">
        <v>407</v>
      </c>
      <c r="D191" s="45" t="s">
        <v>407</v>
      </c>
      <c r="E191" s="45" t="s">
        <v>407</v>
      </c>
      <c r="F191" s="45" t="s">
        <v>407</v>
      </c>
      <c r="G191" s="45" t="s">
        <v>407</v>
      </c>
      <c r="H191" s="45" t="s">
        <v>407</v>
      </c>
      <c r="I191" s="45" t="s">
        <v>407</v>
      </c>
      <c r="J191" s="45" t="s">
        <v>407</v>
      </c>
      <c r="K191" s="45" t="s">
        <v>407</v>
      </c>
      <c r="L191" s="45"/>
      <c r="M191" s="45" t="s">
        <v>407</v>
      </c>
      <c r="N191" s="45" t="s">
        <v>407</v>
      </c>
      <c r="O191" s="45" t="s">
        <v>407</v>
      </c>
      <c r="P191" s="45" t="s">
        <v>407</v>
      </c>
      <c r="Q191" s="45" t="s">
        <v>407</v>
      </c>
      <c r="R191" s="45"/>
      <c r="S191" s="45" t="s">
        <v>407</v>
      </c>
      <c r="T191" s="45" t="s">
        <v>407</v>
      </c>
      <c r="U191" s="45" t="s">
        <v>407</v>
      </c>
      <c r="V191" s="45" t="s">
        <v>407</v>
      </c>
      <c r="W191" s="45"/>
      <c r="X191" s="45" t="s">
        <v>407</v>
      </c>
      <c r="Y191" s="45" t="s">
        <v>407</v>
      </c>
      <c r="Z191" s="45" t="s">
        <v>407</v>
      </c>
      <c r="AA191" s="45" t="s">
        <v>407</v>
      </c>
      <c r="AB191" s="45" t="s">
        <v>407</v>
      </c>
    </row>
    <row r="192" spans="1:30">
      <c r="A192" s="91" t="s">
        <v>167</v>
      </c>
      <c r="B192" s="45" t="s">
        <v>407</v>
      </c>
      <c r="C192" s="45" t="s">
        <v>407</v>
      </c>
      <c r="D192" s="45" t="s">
        <v>407</v>
      </c>
      <c r="E192" s="45" t="s">
        <v>407</v>
      </c>
      <c r="F192" s="45" t="s">
        <v>407</v>
      </c>
      <c r="G192" s="45" t="s">
        <v>407</v>
      </c>
      <c r="H192" s="45" t="s">
        <v>407</v>
      </c>
      <c r="I192" s="45" t="s">
        <v>407</v>
      </c>
      <c r="J192" s="45" t="s">
        <v>407</v>
      </c>
      <c r="K192" s="45" t="s">
        <v>407</v>
      </c>
      <c r="L192" s="45"/>
      <c r="M192" s="45" t="s">
        <v>407</v>
      </c>
      <c r="N192" s="45" t="s">
        <v>407</v>
      </c>
      <c r="O192" s="45" t="s">
        <v>407</v>
      </c>
      <c r="P192" s="45" t="s">
        <v>407</v>
      </c>
      <c r="Q192" s="45" t="s">
        <v>407</v>
      </c>
      <c r="R192" s="45"/>
      <c r="S192" s="45" t="s">
        <v>407</v>
      </c>
      <c r="T192" s="45" t="s">
        <v>407</v>
      </c>
      <c r="U192" s="45" t="s">
        <v>407</v>
      </c>
      <c r="V192" s="45" t="s">
        <v>407</v>
      </c>
      <c r="W192" s="45"/>
      <c r="X192" s="45" t="s">
        <v>407</v>
      </c>
      <c r="Y192" s="45" t="s">
        <v>407</v>
      </c>
      <c r="Z192" s="45" t="s">
        <v>407</v>
      </c>
      <c r="AA192" s="45" t="s">
        <v>407</v>
      </c>
      <c r="AB192" s="45" t="s">
        <v>407</v>
      </c>
    </row>
    <row r="193" spans="1:30">
      <c r="A193" s="91" t="s">
        <v>168</v>
      </c>
      <c r="B193" s="13"/>
    </row>
    <row r="194" spans="1:30">
      <c r="A194" s="93" t="s">
        <v>78</v>
      </c>
      <c r="B194" s="45" t="s">
        <v>407</v>
      </c>
      <c r="C194" s="45" t="s">
        <v>407</v>
      </c>
      <c r="D194" s="45" t="s">
        <v>407</v>
      </c>
      <c r="E194" s="45" t="s">
        <v>407</v>
      </c>
      <c r="F194" s="45" t="s">
        <v>407</v>
      </c>
      <c r="G194" s="45" t="s">
        <v>407</v>
      </c>
      <c r="H194" s="45" t="s">
        <v>407</v>
      </c>
      <c r="I194" s="45" t="s">
        <v>407</v>
      </c>
      <c r="J194" s="45" t="s">
        <v>407</v>
      </c>
      <c r="K194" s="45" t="s">
        <v>407</v>
      </c>
      <c r="L194" s="45"/>
      <c r="M194" s="45" t="s">
        <v>407</v>
      </c>
      <c r="N194" s="45" t="s">
        <v>407</v>
      </c>
      <c r="O194" s="45" t="s">
        <v>407</v>
      </c>
      <c r="P194" s="45" t="s">
        <v>407</v>
      </c>
      <c r="Q194" s="45" t="s">
        <v>407</v>
      </c>
      <c r="R194" s="45"/>
      <c r="S194" s="45" t="s">
        <v>407</v>
      </c>
      <c r="T194" s="45" t="s">
        <v>407</v>
      </c>
      <c r="U194" s="45" t="s">
        <v>407</v>
      </c>
      <c r="V194" s="45" t="s">
        <v>407</v>
      </c>
      <c r="W194" s="45"/>
      <c r="X194" s="45" t="s">
        <v>407</v>
      </c>
      <c r="Y194" s="45" t="s">
        <v>407</v>
      </c>
      <c r="Z194" s="45" t="s">
        <v>407</v>
      </c>
      <c r="AA194" s="45" t="s">
        <v>407</v>
      </c>
      <c r="AB194" s="45" t="s">
        <v>407</v>
      </c>
    </row>
    <row r="195" spans="1:30">
      <c r="A195" s="93" t="s">
        <v>56</v>
      </c>
      <c r="B195" s="45" t="s">
        <v>407</v>
      </c>
      <c r="C195" s="45" t="s">
        <v>407</v>
      </c>
      <c r="D195" s="45" t="s">
        <v>407</v>
      </c>
      <c r="E195" s="45" t="s">
        <v>407</v>
      </c>
      <c r="F195" s="45" t="s">
        <v>407</v>
      </c>
      <c r="G195" s="45" t="s">
        <v>407</v>
      </c>
      <c r="H195" s="45" t="s">
        <v>407</v>
      </c>
      <c r="I195" s="45" t="s">
        <v>407</v>
      </c>
      <c r="J195" s="45" t="s">
        <v>407</v>
      </c>
      <c r="K195" s="45" t="s">
        <v>407</v>
      </c>
      <c r="L195" s="45"/>
      <c r="M195" s="45" t="s">
        <v>407</v>
      </c>
      <c r="N195" s="45" t="s">
        <v>407</v>
      </c>
      <c r="O195" s="45" t="s">
        <v>407</v>
      </c>
      <c r="P195" s="45" t="s">
        <v>407</v>
      </c>
      <c r="Q195" s="45" t="s">
        <v>407</v>
      </c>
      <c r="R195" s="45"/>
      <c r="S195" s="45" t="s">
        <v>407</v>
      </c>
      <c r="T195" s="45" t="s">
        <v>407</v>
      </c>
      <c r="U195" s="45" t="s">
        <v>407</v>
      </c>
      <c r="V195" s="45" t="s">
        <v>407</v>
      </c>
      <c r="W195" s="45"/>
      <c r="X195" s="45" t="s">
        <v>407</v>
      </c>
      <c r="Y195" s="45" t="s">
        <v>407</v>
      </c>
      <c r="Z195" s="45" t="s">
        <v>407</v>
      </c>
      <c r="AA195" s="45" t="s">
        <v>407</v>
      </c>
      <c r="AB195" s="45" t="s">
        <v>407</v>
      </c>
    </row>
    <row r="196" spans="1:30">
      <c r="A196" s="93" t="s">
        <v>87</v>
      </c>
      <c r="B196" s="45" t="s">
        <v>407</v>
      </c>
      <c r="C196" s="45" t="s">
        <v>407</v>
      </c>
      <c r="D196" s="45" t="s">
        <v>407</v>
      </c>
      <c r="E196" s="45" t="s">
        <v>407</v>
      </c>
      <c r="F196" s="45" t="s">
        <v>407</v>
      </c>
      <c r="G196" s="45" t="s">
        <v>407</v>
      </c>
      <c r="H196" s="45" t="s">
        <v>407</v>
      </c>
      <c r="I196" s="45" t="s">
        <v>407</v>
      </c>
      <c r="J196" s="45" t="s">
        <v>407</v>
      </c>
      <c r="K196" s="45" t="s">
        <v>407</v>
      </c>
      <c r="L196" s="45"/>
      <c r="M196" s="45" t="s">
        <v>407</v>
      </c>
      <c r="N196" s="45" t="s">
        <v>407</v>
      </c>
      <c r="O196" s="45" t="s">
        <v>407</v>
      </c>
      <c r="P196" s="45" t="s">
        <v>407</v>
      </c>
      <c r="Q196" s="45" t="s">
        <v>407</v>
      </c>
      <c r="R196" s="45"/>
      <c r="S196" s="45" t="s">
        <v>407</v>
      </c>
      <c r="T196" s="45" t="s">
        <v>407</v>
      </c>
      <c r="U196" s="45" t="s">
        <v>407</v>
      </c>
      <c r="V196" s="45" t="s">
        <v>407</v>
      </c>
      <c r="W196" s="45"/>
      <c r="X196" s="45" t="s">
        <v>407</v>
      </c>
      <c r="Y196" s="45" t="s">
        <v>407</v>
      </c>
      <c r="Z196" s="45" t="s">
        <v>407</v>
      </c>
      <c r="AA196" s="45" t="s">
        <v>407</v>
      </c>
      <c r="AB196" s="45" t="s">
        <v>407</v>
      </c>
    </row>
    <row r="197" spans="1:30">
      <c r="A197" s="93" t="s">
        <v>74</v>
      </c>
      <c r="B197" s="45" t="s">
        <v>407</v>
      </c>
      <c r="C197" s="45" t="s">
        <v>407</v>
      </c>
      <c r="D197" s="45" t="s">
        <v>407</v>
      </c>
      <c r="E197" s="45" t="s">
        <v>407</v>
      </c>
      <c r="F197" s="45" t="s">
        <v>407</v>
      </c>
      <c r="G197" s="45" t="s">
        <v>407</v>
      </c>
      <c r="H197" s="45" t="s">
        <v>407</v>
      </c>
      <c r="I197" s="45" t="s">
        <v>407</v>
      </c>
      <c r="J197" s="45" t="s">
        <v>407</v>
      </c>
      <c r="K197" s="45" t="s">
        <v>407</v>
      </c>
      <c r="L197" s="45"/>
      <c r="M197" s="45" t="s">
        <v>407</v>
      </c>
      <c r="N197" s="45" t="s">
        <v>407</v>
      </c>
      <c r="O197" s="45" t="s">
        <v>407</v>
      </c>
      <c r="P197" s="45" t="s">
        <v>407</v>
      </c>
      <c r="Q197" s="45" t="s">
        <v>407</v>
      </c>
      <c r="R197" s="45"/>
      <c r="S197" s="45" t="s">
        <v>407</v>
      </c>
      <c r="T197" s="45" t="s">
        <v>407</v>
      </c>
      <c r="U197" s="45" t="s">
        <v>407</v>
      </c>
      <c r="V197" s="45" t="s">
        <v>407</v>
      </c>
      <c r="W197" s="45"/>
      <c r="X197" s="45" t="s">
        <v>407</v>
      </c>
      <c r="Y197" s="45" t="s">
        <v>407</v>
      </c>
      <c r="Z197" s="45" t="s">
        <v>407</v>
      </c>
      <c r="AA197" s="45" t="s">
        <v>407</v>
      </c>
      <c r="AB197" s="45" t="s">
        <v>407</v>
      </c>
    </row>
    <row r="198" spans="1:30">
      <c r="A198" s="94" t="s">
        <v>76</v>
      </c>
      <c r="B198" s="45" t="s">
        <v>407</v>
      </c>
      <c r="C198" s="45" t="s">
        <v>407</v>
      </c>
      <c r="D198" s="45" t="s">
        <v>407</v>
      </c>
      <c r="E198" s="45" t="s">
        <v>407</v>
      </c>
      <c r="F198" s="45" t="s">
        <v>407</v>
      </c>
      <c r="G198" s="45" t="s">
        <v>407</v>
      </c>
      <c r="H198" s="45" t="s">
        <v>407</v>
      </c>
      <c r="I198" s="45" t="s">
        <v>407</v>
      </c>
      <c r="J198" s="45" t="s">
        <v>407</v>
      </c>
      <c r="K198" s="45" t="s">
        <v>407</v>
      </c>
      <c r="L198" s="45"/>
      <c r="M198" s="45" t="s">
        <v>407</v>
      </c>
      <c r="N198" s="45" t="s">
        <v>407</v>
      </c>
      <c r="O198" s="45" t="s">
        <v>407</v>
      </c>
      <c r="P198" s="45" t="s">
        <v>407</v>
      </c>
      <c r="Q198" s="45" t="s">
        <v>407</v>
      </c>
      <c r="R198" s="45"/>
      <c r="S198" s="45" t="s">
        <v>407</v>
      </c>
      <c r="T198" s="45" t="s">
        <v>407</v>
      </c>
      <c r="U198" s="45" t="s">
        <v>407</v>
      </c>
      <c r="V198" s="45" t="s">
        <v>407</v>
      </c>
      <c r="W198" s="45"/>
      <c r="X198" s="45" t="s">
        <v>407</v>
      </c>
      <c r="Y198" s="45" t="s">
        <v>407</v>
      </c>
      <c r="Z198" s="45" t="s">
        <v>407</v>
      </c>
      <c r="AA198" s="45" t="s">
        <v>407</v>
      </c>
      <c r="AB198" s="45" t="s">
        <v>407</v>
      </c>
    </row>
    <row r="199" spans="1:30">
      <c r="A199" s="93" t="s">
        <v>179</v>
      </c>
      <c r="B199" s="45" t="s">
        <v>407</v>
      </c>
      <c r="C199" s="45" t="s">
        <v>407</v>
      </c>
      <c r="D199" s="45" t="s">
        <v>407</v>
      </c>
      <c r="E199" s="45" t="s">
        <v>407</v>
      </c>
      <c r="F199" s="45" t="s">
        <v>407</v>
      </c>
      <c r="G199" s="45" t="s">
        <v>407</v>
      </c>
      <c r="H199" s="45" t="s">
        <v>407</v>
      </c>
      <c r="I199" s="45" t="s">
        <v>407</v>
      </c>
      <c r="J199" s="45" t="s">
        <v>407</v>
      </c>
      <c r="K199" s="45" t="s">
        <v>407</v>
      </c>
      <c r="L199" s="45"/>
      <c r="M199" s="45" t="s">
        <v>407</v>
      </c>
      <c r="N199" s="45" t="s">
        <v>407</v>
      </c>
      <c r="O199" s="45" t="s">
        <v>407</v>
      </c>
      <c r="P199" s="45" t="s">
        <v>407</v>
      </c>
      <c r="Q199" s="45" t="s">
        <v>407</v>
      </c>
      <c r="R199" s="45"/>
      <c r="S199" s="45" t="s">
        <v>407</v>
      </c>
      <c r="T199" s="45" t="s">
        <v>407</v>
      </c>
      <c r="U199" s="45" t="s">
        <v>407</v>
      </c>
      <c r="V199" s="45" t="s">
        <v>407</v>
      </c>
      <c r="W199" s="45"/>
      <c r="X199" s="45" t="s">
        <v>407</v>
      </c>
      <c r="Y199" s="45" t="s">
        <v>407</v>
      </c>
      <c r="Z199" s="45" t="s">
        <v>407</v>
      </c>
      <c r="AA199" s="45" t="s">
        <v>407</v>
      </c>
      <c r="AB199" s="45" t="s">
        <v>407</v>
      </c>
    </row>
    <row r="200" spans="1:30">
      <c r="A200" s="93"/>
      <c r="B200" s="95"/>
      <c r="C200" s="95"/>
      <c r="D200" s="95"/>
      <c r="E200" s="95"/>
      <c r="F200" s="95"/>
      <c r="G200" s="95"/>
      <c r="H200" s="95"/>
      <c r="I200" s="95"/>
      <c r="J200" s="95"/>
      <c r="K200" s="95"/>
      <c r="L200" s="95"/>
      <c r="M200" s="95"/>
      <c r="N200" s="95"/>
      <c r="O200" s="95"/>
      <c r="P200" s="95"/>
      <c r="Q200" s="95"/>
      <c r="R200" s="95"/>
      <c r="S200" s="95"/>
      <c r="T200" s="95"/>
      <c r="U200" s="95"/>
      <c r="V200" s="95"/>
      <c r="W200" s="95"/>
      <c r="X200" s="95"/>
      <c r="Y200" s="95"/>
      <c r="Z200" s="95"/>
      <c r="AA200" s="95"/>
      <c r="AB200" s="95"/>
    </row>
    <row r="201" spans="1:30">
      <c r="A201" s="93" t="s">
        <v>88</v>
      </c>
      <c r="B201" s="45" t="s">
        <v>407</v>
      </c>
      <c r="C201" s="45" t="s">
        <v>407</v>
      </c>
      <c r="D201" s="45" t="s">
        <v>407</v>
      </c>
      <c r="E201" s="45" t="s">
        <v>407</v>
      </c>
      <c r="F201" s="45" t="s">
        <v>407</v>
      </c>
      <c r="G201" s="45" t="s">
        <v>407</v>
      </c>
      <c r="H201" s="45" t="s">
        <v>407</v>
      </c>
      <c r="I201" s="45" t="s">
        <v>407</v>
      </c>
      <c r="J201" s="45" t="s">
        <v>407</v>
      </c>
      <c r="K201" s="45" t="s">
        <v>407</v>
      </c>
      <c r="L201" s="45"/>
      <c r="M201" s="45" t="s">
        <v>407</v>
      </c>
      <c r="N201" s="45" t="s">
        <v>407</v>
      </c>
      <c r="O201" s="45" t="s">
        <v>407</v>
      </c>
      <c r="P201" s="45" t="s">
        <v>407</v>
      </c>
      <c r="Q201" s="45" t="s">
        <v>407</v>
      </c>
      <c r="R201" s="45"/>
      <c r="S201" s="45" t="s">
        <v>407</v>
      </c>
      <c r="T201" s="45" t="s">
        <v>407</v>
      </c>
      <c r="U201" s="45" t="s">
        <v>407</v>
      </c>
      <c r="V201" s="45" t="s">
        <v>407</v>
      </c>
      <c r="W201" s="45"/>
      <c r="X201" s="45" t="s">
        <v>407</v>
      </c>
      <c r="Y201" s="45" t="s">
        <v>407</v>
      </c>
      <c r="Z201" s="45" t="s">
        <v>407</v>
      </c>
      <c r="AA201" s="45" t="s">
        <v>407</v>
      </c>
      <c r="AB201" s="45" t="s">
        <v>407</v>
      </c>
    </row>
    <row r="202" spans="1:30">
      <c r="A202" s="93" t="s">
        <v>189</v>
      </c>
      <c r="B202" s="45" t="s">
        <v>407</v>
      </c>
      <c r="C202" s="45" t="s">
        <v>407</v>
      </c>
      <c r="D202" s="45" t="s">
        <v>407</v>
      </c>
      <c r="E202" s="45" t="s">
        <v>407</v>
      </c>
      <c r="F202" s="45" t="s">
        <v>407</v>
      </c>
      <c r="G202" s="45" t="s">
        <v>407</v>
      </c>
      <c r="H202" s="45" t="s">
        <v>407</v>
      </c>
      <c r="I202" s="45" t="s">
        <v>407</v>
      </c>
      <c r="J202" s="45" t="s">
        <v>407</v>
      </c>
      <c r="K202" s="45" t="s">
        <v>407</v>
      </c>
      <c r="L202" s="45"/>
      <c r="M202" s="45" t="s">
        <v>407</v>
      </c>
      <c r="N202" s="45" t="s">
        <v>407</v>
      </c>
      <c r="O202" s="45" t="s">
        <v>407</v>
      </c>
      <c r="P202" s="45" t="s">
        <v>407</v>
      </c>
      <c r="Q202" s="45" t="s">
        <v>407</v>
      </c>
      <c r="R202" s="45"/>
      <c r="S202" s="45" t="s">
        <v>407</v>
      </c>
      <c r="T202" s="45" t="s">
        <v>407</v>
      </c>
      <c r="U202" s="45" t="s">
        <v>407</v>
      </c>
      <c r="V202" s="45" t="s">
        <v>407</v>
      </c>
      <c r="W202" s="45"/>
      <c r="X202" s="45" t="s">
        <v>407</v>
      </c>
      <c r="Y202" s="45" t="s">
        <v>407</v>
      </c>
      <c r="Z202" s="45" t="s">
        <v>407</v>
      </c>
      <c r="AA202" s="45" t="s">
        <v>407</v>
      </c>
      <c r="AB202" s="45" t="s">
        <v>407</v>
      </c>
    </row>
    <row r="203" spans="1:30">
      <c r="A203" s="93"/>
      <c r="B203" s="95"/>
      <c r="C203" s="95"/>
      <c r="D203" s="95"/>
      <c r="E203" s="95"/>
    </row>
    <row r="204" spans="1:30">
      <c r="A204" s="93" t="s">
        <v>184</v>
      </c>
      <c r="B204" s="4">
        <f>SUM(B36:B37)/B184</f>
        <v>3.397752611545329E-4</v>
      </c>
      <c r="C204" s="4">
        <f t="shared" ref="C204:Q204" si="74">SUM(C36:C37)/C184</f>
        <v>4.2185360258801283E-4</v>
      </c>
      <c r="D204" s="4">
        <f t="shared" si="74"/>
        <v>1.3404514453861497E-4</v>
      </c>
      <c r="E204" s="4">
        <f t="shared" si="74"/>
        <v>1.2517191266376378E-4</v>
      </c>
      <c r="F204" s="4">
        <f t="shared" si="74"/>
        <v>4.1641967200338595E-4</v>
      </c>
      <c r="G204" s="4">
        <f t="shared" si="74"/>
        <v>1.0740329979926843E-4</v>
      </c>
      <c r="H204" s="4">
        <f t="shared" si="74"/>
        <v>5.8412760024819741E-5</v>
      </c>
      <c r="I204" s="4">
        <f t="shared" si="74"/>
        <v>1.9726186965079312E-4</v>
      </c>
      <c r="J204" s="4">
        <f t="shared" si="74"/>
        <v>2.2870568879817675E-4</v>
      </c>
      <c r="K204" s="45" t="s">
        <v>407</v>
      </c>
      <c r="L204" s="4"/>
      <c r="M204" s="4">
        <f t="shared" si="74"/>
        <v>1.2651359685784022E-4</v>
      </c>
      <c r="N204" s="4">
        <f t="shared" si="74"/>
        <v>2.1611855452184818E-4</v>
      </c>
      <c r="O204" s="4">
        <f t="shared" si="74"/>
        <v>2.6833099345655107E-4</v>
      </c>
      <c r="P204" s="4">
        <f t="shared" si="74"/>
        <v>2.8328538620441245E-4</v>
      </c>
      <c r="Q204" s="4">
        <f t="shared" si="74"/>
        <v>8.7802196461977299E-5</v>
      </c>
      <c r="R204" s="4"/>
      <c r="S204" s="45" t="s">
        <v>407</v>
      </c>
      <c r="T204" s="45" t="s">
        <v>407</v>
      </c>
      <c r="U204" s="45" t="s">
        <v>407</v>
      </c>
      <c r="V204" s="45" t="s">
        <v>407</v>
      </c>
      <c r="W204" s="45"/>
      <c r="X204" s="45" t="s">
        <v>407</v>
      </c>
      <c r="Y204" s="45" t="s">
        <v>407</v>
      </c>
      <c r="Z204" s="45" t="s">
        <v>407</v>
      </c>
      <c r="AA204" s="45" t="s">
        <v>407</v>
      </c>
      <c r="AB204" s="45" t="s">
        <v>407</v>
      </c>
      <c r="AD204">
        <f t="shared" si="68"/>
        <v>2.150785670517141E-4</v>
      </c>
    </row>
    <row r="205" spans="1:30">
      <c r="A205" s="93" t="s">
        <v>183</v>
      </c>
      <c r="B205" s="4">
        <f>B36/B184</f>
        <v>5.1630654208956964E-5</v>
      </c>
      <c r="C205" s="4">
        <f t="shared" ref="C205:Q205" si="75">C36/C184</f>
        <v>1.9461832715928684E-5</v>
      </c>
      <c r="D205" s="4">
        <f t="shared" si="75"/>
        <v>4.3530495140022568E-6</v>
      </c>
      <c r="E205" s="4">
        <f t="shared" si="75"/>
        <v>2.4818134229981363E-6</v>
      </c>
      <c r="F205" s="4">
        <f t="shared" si="75"/>
        <v>4.1727124597476293E-5</v>
      </c>
      <c r="G205" s="4">
        <f t="shared" si="75"/>
        <v>7.7297829400988653E-6</v>
      </c>
      <c r="H205" s="4">
        <f t="shared" si="75"/>
        <v>1.3179822532319791E-6</v>
      </c>
      <c r="I205" s="4">
        <f t="shared" si="75"/>
        <v>9.486323067642295E-6</v>
      </c>
      <c r="J205" s="4">
        <f t="shared" si="75"/>
        <v>1.0608145798942353E-5</v>
      </c>
      <c r="K205" s="45" t="s">
        <v>407</v>
      </c>
      <c r="L205" s="4"/>
      <c r="M205" s="4">
        <f t="shared" si="75"/>
        <v>1.2140567515907431E-5</v>
      </c>
      <c r="N205" s="4">
        <f t="shared" si="75"/>
        <v>2.3769693153297203E-5</v>
      </c>
      <c r="O205" s="4">
        <f t="shared" si="75"/>
        <v>3.2027862392193868E-5</v>
      </c>
      <c r="P205" s="4">
        <f t="shared" si="75"/>
        <v>9.4158939710701481E-6</v>
      </c>
      <c r="Q205" s="4">
        <f t="shared" si="75"/>
        <v>1.6358892822088232E-5</v>
      </c>
      <c r="R205" s="4"/>
      <c r="S205" s="45" t="s">
        <v>407</v>
      </c>
      <c r="T205" s="45" t="s">
        <v>407</v>
      </c>
      <c r="U205" s="45" t="s">
        <v>407</v>
      </c>
      <c r="V205" s="45" t="s">
        <v>407</v>
      </c>
      <c r="W205" s="45"/>
      <c r="X205" s="45" t="s">
        <v>407</v>
      </c>
      <c r="Y205" s="45" t="s">
        <v>407</v>
      </c>
      <c r="Z205" s="45" t="s">
        <v>407</v>
      </c>
      <c r="AA205" s="45" t="s">
        <v>407</v>
      </c>
      <c r="AB205" s="45" t="s">
        <v>407</v>
      </c>
      <c r="AD205">
        <f t="shared" si="68"/>
        <v>1.7322115598131048E-5</v>
      </c>
    </row>
    <row r="206" spans="1:30">
      <c r="A206" s="94" t="s">
        <v>142</v>
      </c>
      <c r="B206" s="4">
        <f>B37/B184</f>
        <v>2.8814460694557599E-4</v>
      </c>
      <c r="C206" s="4">
        <f t="shared" ref="C206:Q206" si="76">C37/C184</f>
        <v>4.0239176987208415E-4</v>
      </c>
      <c r="D206" s="4">
        <f t="shared" si="76"/>
        <v>1.2969209502461271E-4</v>
      </c>
      <c r="E206" s="4">
        <f t="shared" si="76"/>
        <v>1.2269009924076565E-4</v>
      </c>
      <c r="F206" s="4">
        <f t="shared" si="76"/>
        <v>3.7469254740590965E-4</v>
      </c>
      <c r="G206" s="4">
        <f t="shared" si="76"/>
        <v>9.9673516859169578E-5</v>
      </c>
      <c r="H206" s="4">
        <f t="shared" si="76"/>
        <v>5.7094777771587768E-5</v>
      </c>
      <c r="I206" s="4">
        <f t="shared" si="76"/>
        <v>1.8777554658315081E-4</v>
      </c>
      <c r="J206" s="4">
        <f t="shared" si="76"/>
        <v>2.1809754299923441E-4</v>
      </c>
      <c r="K206" s="45" t="s">
        <v>407</v>
      </c>
      <c r="L206" s="4"/>
      <c r="M206" s="4">
        <f t="shared" si="76"/>
        <v>1.143730293419328E-4</v>
      </c>
      <c r="N206" s="4">
        <f t="shared" si="76"/>
        <v>1.9234886136855099E-4</v>
      </c>
      <c r="O206" s="4">
        <f t="shared" si="76"/>
        <v>2.3630313106435719E-4</v>
      </c>
      <c r="P206" s="4">
        <f t="shared" si="76"/>
        <v>2.7386949223334229E-4</v>
      </c>
      <c r="Q206" s="4">
        <f t="shared" si="76"/>
        <v>7.1443303639889057E-5</v>
      </c>
      <c r="R206" s="4"/>
      <c r="S206" s="45" t="s">
        <v>407</v>
      </c>
      <c r="T206" s="45" t="s">
        <v>407</v>
      </c>
      <c r="U206" s="45" t="s">
        <v>407</v>
      </c>
      <c r="V206" s="45" t="s">
        <v>407</v>
      </c>
      <c r="W206" s="45"/>
      <c r="X206" s="45" t="s">
        <v>407</v>
      </c>
      <c r="Y206" s="45" t="s">
        <v>407</v>
      </c>
      <c r="Z206" s="45" t="s">
        <v>407</v>
      </c>
      <c r="AA206" s="45" t="s">
        <v>407</v>
      </c>
      <c r="AB206" s="45" t="s">
        <v>407</v>
      </c>
      <c r="AD206">
        <f t="shared" si="68"/>
        <v>1.9775645145358301E-4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98"/>
  <sheetViews>
    <sheetView topLeftCell="A60" workbookViewId="0">
      <selection activeCell="B76" sqref="B76"/>
    </sheetView>
  </sheetViews>
  <sheetFormatPr defaultRowHeight="12.75"/>
  <cols>
    <col min="1" max="1" width="35.5703125" customWidth="1"/>
    <col min="2" max="7" width="10.140625" bestFit="1" customWidth="1"/>
    <col min="8" max="8" width="5" customWidth="1"/>
    <col min="9" max="9" width="9.28515625" bestFit="1" customWidth="1"/>
    <col min="10" max="10" width="9.42578125" bestFit="1" customWidth="1"/>
    <col min="11" max="20" width="9.28515625" bestFit="1" customWidth="1"/>
  </cols>
  <sheetData>
    <row r="1" spans="1:20" ht="15.75">
      <c r="A1" t="s">
        <v>271</v>
      </c>
      <c r="C1" s="5"/>
    </row>
    <row r="2" spans="1:20">
      <c r="A2" t="s">
        <v>272</v>
      </c>
    </row>
    <row r="3" spans="1:20">
      <c r="D3" s="8"/>
    </row>
    <row r="4" spans="1:20">
      <c r="A4" s="2" t="s">
        <v>1</v>
      </c>
      <c r="B4" s="2" t="s">
        <v>2</v>
      </c>
    </row>
    <row r="5" spans="1:20">
      <c r="A5" t="s">
        <v>10</v>
      </c>
      <c r="B5">
        <v>736</v>
      </c>
      <c r="C5">
        <v>736</v>
      </c>
      <c r="D5">
        <v>736</v>
      </c>
      <c r="E5">
        <v>736</v>
      </c>
      <c r="F5">
        <v>736</v>
      </c>
      <c r="G5">
        <v>736</v>
      </c>
      <c r="I5">
        <v>737</v>
      </c>
      <c r="J5">
        <v>737</v>
      </c>
      <c r="K5">
        <v>737</v>
      </c>
      <c r="L5">
        <v>737</v>
      </c>
      <c r="M5">
        <v>737</v>
      </c>
      <c r="N5">
        <v>737</v>
      </c>
      <c r="O5">
        <v>737</v>
      </c>
      <c r="P5">
        <v>737</v>
      </c>
      <c r="Q5">
        <v>737</v>
      </c>
      <c r="R5">
        <v>737</v>
      </c>
      <c r="S5">
        <v>737</v>
      </c>
      <c r="T5">
        <v>737</v>
      </c>
    </row>
    <row r="6" spans="1:20">
      <c r="A6" t="s">
        <v>11</v>
      </c>
      <c r="B6" t="s">
        <v>279</v>
      </c>
      <c r="C6" t="s">
        <v>279</v>
      </c>
      <c r="D6" t="s">
        <v>279</v>
      </c>
      <c r="E6" t="s">
        <v>280</v>
      </c>
      <c r="F6" t="s">
        <v>280</v>
      </c>
      <c r="G6" t="s">
        <v>280</v>
      </c>
      <c r="I6" t="s">
        <v>281</v>
      </c>
      <c r="J6" t="s">
        <v>281</v>
      </c>
      <c r="K6" t="s">
        <v>281</v>
      </c>
      <c r="L6" t="s">
        <v>282</v>
      </c>
      <c r="M6" t="s">
        <v>282</v>
      </c>
      <c r="N6" t="s">
        <v>282</v>
      </c>
      <c r="O6" t="s">
        <v>283</v>
      </c>
      <c r="P6" t="s">
        <v>283</v>
      </c>
      <c r="Q6" t="s">
        <v>283</v>
      </c>
      <c r="R6" t="s">
        <v>284</v>
      </c>
      <c r="S6" t="s">
        <v>284</v>
      </c>
      <c r="T6" t="s">
        <v>284</v>
      </c>
    </row>
    <row r="7" spans="1:20">
      <c r="A7" t="s">
        <v>113</v>
      </c>
    </row>
    <row r="8" spans="1:20">
      <c r="A8" t="s">
        <v>114</v>
      </c>
      <c r="D8" s="9"/>
    </row>
    <row r="9" spans="1:20">
      <c r="A9" t="s">
        <v>3</v>
      </c>
    </row>
    <row r="10" spans="1:20">
      <c r="A10" t="s">
        <v>4</v>
      </c>
    </row>
    <row r="11" spans="1:20">
      <c r="A11" t="s">
        <v>5</v>
      </c>
    </row>
    <row r="12" spans="1:20">
      <c r="A12" t="s">
        <v>6</v>
      </c>
    </row>
    <row r="13" spans="1:20">
      <c r="A13" t="s">
        <v>7</v>
      </c>
    </row>
    <row r="14" spans="1:20">
      <c r="A14" t="s">
        <v>8</v>
      </c>
    </row>
    <row r="15" spans="1:20">
      <c r="A15" t="s">
        <v>9</v>
      </c>
    </row>
    <row r="17" spans="1:22">
      <c r="A17" t="s">
        <v>212</v>
      </c>
    </row>
    <row r="19" spans="1:22">
      <c r="B19" t="s">
        <v>14</v>
      </c>
      <c r="C19" t="s">
        <v>15</v>
      </c>
      <c r="D19" t="s">
        <v>16</v>
      </c>
      <c r="E19" t="s">
        <v>14</v>
      </c>
      <c r="F19" t="s">
        <v>15</v>
      </c>
      <c r="G19" t="s">
        <v>16</v>
      </c>
      <c r="I19" t="s">
        <v>14</v>
      </c>
      <c r="J19" t="s">
        <v>15</v>
      </c>
      <c r="K19" t="s">
        <v>16</v>
      </c>
      <c r="L19" t="s">
        <v>14</v>
      </c>
      <c r="M19" t="s">
        <v>15</v>
      </c>
      <c r="N19" t="s">
        <v>16</v>
      </c>
      <c r="O19" t="s">
        <v>14</v>
      </c>
      <c r="P19" t="s">
        <v>15</v>
      </c>
      <c r="Q19" t="s">
        <v>16</v>
      </c>
      <c r="R19" t="s">
        <v>14</v>
      </c>
      <c r="S19" t="s">
        <v>15</v>
      </c>
      <c r="T19" t="s">
        <v>16</v>
      </c>
    </row>
    <row r="20" spans="1:22">
      <c r="A20" t="s">
        <v>18</v>
      </c>
      <c r="B20" s="1">
        <v>40527</v>
      </c>
      <c r="C20" s="1">
        <v>40528</v>
      </c>
      <c r="D20" s="1">
        <v>40529</v>
      </c>
      <c r="E20" s="1">
        <v>40527</v>
      </c>
      <c r="F20" s="1">
        <v>40528</v>
      </c>
      <c r="G20" s="1">
        <v>40529</v>
      </c>
      <c r="H20" s="1"/>
      <c r="I20" s="1">
        <v>40554</v>
      </c>
      <c r="J20" s="1">
        <v>40556</v>
      </c>
      <c r="K20" s="1">
        <v>40557</v>
      </c>
      <c r="L20" s="1">
        <v>40553</v>
      </c>
      <c r="M20" s="1">
        <v>40555</v>
      </c>
      <c r="N20" s="1">
        <v>40556</v>
      </c>
      <c r="O20" s="1">
        <v>40554</v>
      </c>
      <c r="P20" s="1">
        <v>40556</v>
      </c>
      <c r="Q20" s="1">
        <v>40557</v>
      </c>
      <c r="R20" s="1">
        <v>40554</v>
      </c>
      <c r="S20" s="1">
        <v>40556</v>
      </c>
      <c r="T20" s="1">
        <v>40558</v>
      </c>
    </row>
    <row r="21" spans="1:22">
      <c r="A21" t="s">
        <v>112</v>
      </c>
    </row>
    <row r="22" spans="1:22">
      <c r="A22" t="s">
        <v>286</v>
      </c>
      <c r="B22">
        <v>218.9</v>
      </c>
      <c r="C22">
        <v>219.2</v>
      </c>
      <c r="D22">
        <v>218.4</v>
      </c>
      <c r="E22">
        <v>212</v>
      </c>
      <c r="F22">
        <v>219.8</v>
      </c>
      <c r="G22">
        <v>254.6</v>
      </c>
      <c r="I22">
        <v>210.5</v>
      </c>
      <c r="J22">
        <v>213.1</v>
      </c>
      <c r="K22">
        <v>208.7</v>
      </c>
      <c r="L22">
        <v>212.5</v>
      </c>
      <c r="M22">
        <v>213</v>
      </c>
      <c r="N22">
        <v>212.3</v>
      </c>
      <c r="O22">
        <v>211.5</v>
      </c>
      <c r="P22">
        <v>211.7</v>
      </c>
      <c r="Q22">
        <v>214.3</v>
      </c>
      <c r="R22">
        <v>211.2</v>
      </c>
      <c r="S22">
        <v>212.1</v>
      </c>
      <c r="T22">
        <v>208</v>
      </c>
    </row>
    <row r="23" spans="1:22">
      <c r="A23" t="s">
        <v>285</v>
      </c>
      <c r="B23">
        <v>150.80000000000001</v>
      </c>
      <c r="C23">
        <v>217.4</v>
      </c>
      <c r="D23">
        <v>217.9</v>
      </c>
      <c r="E23">
        <v>210.5</v>
      </c>
      <c r="F23">
        <v>219.8</v>
      </c>
      <c r="G23">
        <v>236.7</v>
      </c>
      <c r="I23">
        <v>210.1</v>
      </c>
      <c r="J23">
        <v>211</v>
      </c>
      <c r="K23">
        <v>208.1</v>
      </c>
      <c r="L23">
        <v>210.3</v>
      </c>
      <c r="M23">
        <v>212.3</v>
      </c>
      <c r="N23">
        <v>211</v>
      </c>
      <c r="O23">
        <v>211</v>
      </c>
      <c r="P23">
        <v>211.2</v>
      </c>
      <c r="Q23">
        <v>210.2</v>
      </c>
      <c r="R23">
        <v>210.5</v>
      </c>
      <c r="S23">
        <v>210.3</v>
      </c>
      <c r="T23">
        <v>207.8</v>
      </c>
    </row>
    <row r="24" spans="1:22">
      <c r="A24" t="s">
        <v>213</v>
      </c>
      <c r="B24">
        <v>16</v>
      </c>
      <c r="C24">
        <v>10</v>
      </c>
      <c r="D24">
        <v>25</v>
      </c>
      <c r="E24">
        <v>22</v>
      </c>
      <c r="F24">
        <v>38</v>
      </c>
      <c r="G24">
        <v>28</v>
      </c>
      <c r="I24">
        <v>117</v>
      </c>
      <c r="J24">
        <v>111</v>
      </c>
      <c r="K24">
        <v>47</v>
      </c>
      <c r="L24">
        <v>97</v>
      </c>
      <c r="M24">
        <v>61</v>
      </c>
      <c r="N24">
        <v>53</v>
      </c>
      <c r="O24">
        <v>105</v>
      </c>
      <c r="P24">
        <v>27</v>
      </c>
      <c r="Q24">
        <v>89</v>
      </c>
      <c r="R24">
        <v>66</v>
      </c>
      <c r="S24">
        <v>77</v>
      </c>
      <c r="T24">
        <v>26</v>
      </c>
    </row>
    <row r="25" spans="1:22">
      <c r="A25" t="s">
        <v>158</v>
      </c>
    </row>
    <row r="26" spans="1:22">
      <c r="A26" t="s">
        <v>24</v>
      </c>
    </row>
    <row r="27" spans="1:22">
      <c r="A27" t="s">
        <v>115</v>
      </c>
    </row>
    <row r="29" spans="1:22">
      <c r="A29" t="s">
        <v>31</v>
      </c>
      <c r="B29">
        <v>25.5</v>
      </c>
      <c r="C29">
        <v>80.09</v>
      </c>
      <c r="D29">
        <v>96.66</v>
      </c>
      <c r="E29">
        <v>91.22</v>
      </c>
      <c r="F29">
        <v>95.26</v>
      </c>
      <c r="G29">
        <v>85.58</v>
      </c>
      <c r="I29">
        <v>75.52</v>
      </c>
      <c r="J29">
        <v>94.47</v>
      </c>
      <c r="K29">
        <v>90.7</v>
      </c>
      <c r="L29">
        <v>95.39</v>
      </c>
      <c r="M29">
        <v>48.48</v>
      </c>
      <c r="N29">
        <v>91.52</v>
      </c>
      <c r="O29">
        <v>95.96</v>
      </c>
      <c r="P29">
        <v>95.19</v>
      </c>
      <c r="Q29">
        <v>94.62</v>
      </c>
      <c r="R29">
        <v>94</v>
      </c>
      <c r="S29">
        <v>93.3</v>
      </c>
      <c r="T29">
        <v>90.1</v>
      </c>
    </row>
    <row r="30" spans="1:22">
      <c r="A30" t="s">
        <v>277</v>
      </c>
      <c r="B30">
        <v>501</v>
      </c>
      <c r="C30">
        <v>2172</v>
      </c>
      <c r="D30">
        <v>3306</v>
      </c>
      <c r="E30">
        <v>3266</v>
      </c>
      <c r="F30">
        <v>2603</v>
      </c>
      <c r="G30">
        <v>649</v>
      </c>
      <c r="I30">
        <v>11134</v>
      </c>
      <c r="J30">
        <v>13926</v>
      </c>
      <c r="K30">
        <v>15358</v>
      </c>
      <c r="L30">
        <v>12662</v>
      </c>
      <c r="M30">
        <v>10890</v>
      </c>
      <c r="N30">
        <v>18352</v>
      </c>
      <c r="O30">
        <v>10315</v>
      </c>
      <c r="P30">
        <v>11308</v>
      </c>
      <c r="Q30">
        <v>17683</v>
      </c>
      <c r="R30">
        <v>10800</v>
      </c>
      <c r="S30">
        <v>12711</v>
      </c>
      <c r="T30">
        <v>12318</v>
      </c>
    </row>
    <row r="31" spans="1:22">
      <c r="A31" t="s">
        <v>278</v>
      </c>
      <c r="B31">
        <v>314</v>
      </c>
      <c r="C31">
        <v>337</v>
      </c>
      <c r="D31">
        <v>87</v>
      </c>
      <c r="E31">
        <v>228</v>
      </c>
      <c r="F31">
        <v>97</v>
      </c>
      <c r="G31">
        <v>71</v>
      </c>
      <c r="I31">
        <v>2189</v>
      </c>
      <c r="J31">
        <v>621</v>
      </c>
      <c r="K31">
        <v>1141</v>
      </c>
      <c r="L31">
        <v>463</v>
      </c>
      <c r="M31">
        <v>4544</v>
      </c>
      <c r="N31">
        <v>1243</v>
      </c>
      <c r="O31">
        <v>333</v>
      </c>
      <c r="P31">
        <v>439</v>
      </c>
      <c r="Q31">
        <v>759</v>
      </c>
      <c r="R31">
        <v>523</v>
      </c>
      <c r="S31">
        <v>689</v>
      </c>
      <c r="T31">
        <v>975</v>
      </c>
    </row>
    <row r="32" spans="1:22">
      <c r="V32" s="15"/>
    </row>
    <row r="34" spans="1:24">
      <c r="A34" t="s">
        <v>140</v>
      </c>
      <c r="B34" t="s">
        <v>143</v>
      </c>
      <c r="V34" t="s">
        <v>288</v>
      </c>
      <c r="W34" t="s">
        <v>554</v>
      </c>
      <c r="X34" t="s">
        <v>375</v>
      </c>
    </row>
    <row r="35" spans="1:24">
      <c r="A35" t="s">
        <v>273</v>
      </c>
      <c r="B35">
        <v>23.12</v>
      </c>
      <c r="C35">
        <v>23.64</v>
      </c>
      <c r="D35">
        <v>77.58</v>
      </c>
      <c r="E35">
        <v>5.74</v>
      </c>
      <c r="F35">
        <v>67.89</v>
      </c>
      <c r="G35">
        <v>28.32</v>
      </c>
      <c r="I35" s="13" t="s">
        <v>247</v>
      </c>
      <c r="J35" s="13" t="s">
        <v>247</v>
      </c>
      <c r="K35" s="13" t="s">
        <v>247</v>
      </c>
      <c r="L35" s="13" t="s">
        <v>247</v>
      </c>
      <c r="M35" s="13" t="s">
        <v>247</v>
      </c>
      <c r="N35" s="13" t="s">
        <v>247</v>
      </c>
      <c r="O35" s="13" t="s">
        <v>247</v>
      </c>
      <c r="P35" s="13" t="s">
        <v>247</v>
      </c>
      <c r="Q35" s="13" t="s">
        <v>247</v>
      </c>
      <c r="R35" s="13" t="s">
        <v>247</v>
      </c>
      <c r="S35" s="13" t="s">
        <v>247</v>
      </c>
      <c r="T35" s="13" t="s">
        <v>247</v>
      </c>
      <c r="V35" s="15">
        <f>AVERAGE(B35:T35)</f>
        <v>37.715000000000003</v>
      </c>
      <c r="W35" s="15">
        <f>AVERAGE(B35:G35)</f>
        <v>37.715000000000003</v>
      </c>
    </row>
    <row r="36" spans="1:24">
      <c r="A36" t="s">
        <v>274</v>
      </c>
      <c r="B36">
        <v>34.97</v>
      </c>
      <c r="C36">
        <v>3.86</v>
      </c>
      <c r="D36">
        <v>6.24</v>
      </c>
      <c r="E36">
        <v>0.62</v>
      </c>
      <c r="F36">
        <v>2.84</v>
      </c>
      <c r="G36">
        <v>10.06</v>
      </c>
      <c r="I36" s="13">
        <v>119.92</v>
      </c>
      <c r="J36">
        <v>2030.08</v>
      </c>
      <c r="K36">
        <v>394.23</v>
      </c>
      <c r="L36">
        <v>140.08000000000001</v>
      </c>
      <c r="M36">
        <v>55.8</v>
      </c>
      <c r="N36">
        <v>4.72</v>
      </c>
      <c r="O36">
        <v>54.05</v>
      </c>
      <c r="P36">
        <v>57.84</v>
      </c>
      <c r="Q36">
        <v>424.08</v>
      </c>
      <c r="R36">
        <v>862.73</v>
      </c>
      <c r="S36">
        <v>952.02</v>
      </c>
      <c r="T36">
        <v>461.61</v>
      </c>
      <c r="V36" s="15">
        <f>AVERAGE(B36:T36)</f>
        <v>311.98611111111114</v>
      </c>
      <c r="W36" s="15">
        <f t="shared" ref="W36:W44" si="0">AVERAGE(B36:G36)</f>
        <v>9.7650000000000006</v>
      </c>
      <c r="X36" s="13">
        <f>AVERAGE(I36:T36)</f>
        <v>463.09666666666675</v>
      </c>
    </row>
    <row r="37" spans="1:24">
      <c r="A37" t="s">
        <v>144</v>
      </c>
      <c r="B37">
        <v>0.84</v>
      </c>
      <c r="C37">
        <v>0.11</v>
      </c>
      <c r="D37">
        <v>0.21</v>
      </c>
      <c r="E37">
        <v>0.04</v>
      </c>
      <c r="F37">
        <v>0.08</v>
      </c>
      <c r="G37">
        <v>0.42</v>
      </c>
      <c r="I37" s="13">
        <v>4.5</v>
      </c>
      <c r="J37">
        <v>95.32</v>
      </c>
      <c r="K37">
        <v>18.170000000000002</v>
      </c>
      <c r="L37">
        <v>8.5</v>
      </c>
      <c r="M37">
        <v>2.31</v>
      </c>
      <c r="N37">
        <v>0.34</v>
      </c>
      <c r="O37">
        <v>3.82</v>
      </c>
      <c r="P37">
        <v>2.5499999999999998</v>
      </c>
      <c r="Q37">
        <v>19.87</v>
      </c>
      <c r="R37">
        <v>26.59</v>
      </c>
      <c r="S37">
        <v>33.29</v>
      </c>
      <c r="T37">
        <v>24.05</v>
      </c>
      <c r="V37" s="15">
        <f t="shared" ref="V37:V44" si="1">AVERAGE(B37:T37)</f>
        <v>13.389444444444445</v>
      </c>
      <c r="W37" s="15">
        <f t="shared" si="0"/>
        <v>0.28333333333333333</v>
      </c>
      <c r="X37" s="13">
        <f t="shared" ref="X37:X44" si="2">AVERAGE(I37:T37)</f>
        <v>19.942499999999999</v>
      </c>
    </row>
    <row r="38" spans="1:24">
      <c r="A38" t="s">
        <v>145</v>
      </c>
      <c r="B38">
        <v>29.46</v>
      </c>
      <c r="C38">
        <v>3.21</v>
      </c>
      <c r="D38">
        <v>5.03</v>
      </c>
      <c r="E38">
        <v>0.48</v>
      </c>
      <c r="F38">
        <v>2.33</v>
      </c>
      <c r="G38">
        <v>8.1</v>
      </c>
      <c r="I38" s="13">
        <v>97.15</v>
      </c>
      <c r="J38">
        <v>1572.73</v>
      </c>
      <c r="K38">
        <v>306.02</v>
      </c>
      <c r="L38">
        <v>106.8</v>
      </c>
      <c r="M38">
        <v>39.56</v>
      </c>
      <c r="N38">
        <v>3.59</v>
      </c>
      <c r="O38">
        <v>42.54</v>
      </c>
      <c r="P38">
        <v>46.2</v>
      </c>
      <c r="Q38">
        <v>335.79</v>
      </c>
      <c r="R38">
        <v>698.74</v>
      </c>
      <c r="S38">
        <v>766.32</v>
      </c>
      <c r="T38">
        <v>352.34</v>
      </c>
      <c r="V38" s="15">
        <f t="shared" si="1"/>
        <v>245.35499999999996</v>
      </c>
      <c r="W38" s="15">
        <f t="shared" si="0"/>
        <v>8.1016666666666666</v>
      </c>
      <c r="X38" s="13">
        <f t="shared" si="2"/>
        <v>363.98166666666663</v>
      </c>
    </row>
    <row r="39" spans="1:24">
      <c r="A39" t="s">
        <v>146</v>
      </c>
      <c r="B39">
        <v>4.6669999999999998</v>
      </c>
      <c r="C39">
        <v>0.54</v>
      </c>
      <c r="D39">
        <v>1</v>
      </c>
      <c r="E39">
        <v>0.106</v>
      </c>
      <c r="F39">
        <v>0.42780000000000001</v>
      </c>
      <c r="G39">
        <v>1.534</v>
      </c>
      <c r="I39" s="13">
        <v>18.27</v>
      </c>
      <c r="J39">
        <v>362.03</v>
      </c>
      <c r="K39">
        <v>70.037999999999997</v>
      </c>
      <c r="L39">
        <v>24.780999999999999</v>
      </c>
      <c r="M39">
        <v>13.932</v>
      </c>
      <c r="N39">
        <v>0.78800000000000003</v>
      </c>
      <c r="O39">
        <v>7.69</v>
      </c>
      <c r="P39">
        <v>9.0980000000000008</v>
      </c>
      <c r="Q39">
        <v>68.414000000000001</v>
      </c>
      <c r="R39">
        <v>137.4</v>
      </c>
      <c r="S39">
        <v>152.4</v>
      </c>
      <c r="T39">
        <v>85.218000000000004</v>
      </c>
      <c r="V39" s="15">
        <f t="shared" si="1"/>
        <v>53.240766666666659</v>
      </c>
      <c r="W39" s="15">
        <f t="shared" si="0"/>
        <v>1.3791333333333335</v>
      </c>
      <c r="X39" s="13">
        <f t="shared" si="2"/>
        <v>79.171583333333331</v>
      </c>
    </row>
    <row r="40" spans="1:24">
      <c r="A40" t="s">
        <v>275</v>
      </c>
      <c r="B40">
        <v>0.37</v>
      </c>
      <c r="C40">
        <v>5.8999999999999997E-2</v>
      </c>
      <c r="D40">
        <v>9.6000000000000002E-2</v>
      </c>
      <c r="E40">
        <v>8.9999999999999993E-3</v>
      </c>
      <c r="F40">
        <v>4.7E-2</v>
      </c>
      <c r="G40">
        <v>0.156</v>
      </c>
      <c r="I40" s="13">
        <v>1.113</v>
      </c>
      <c r="J40">
        <v>25.515000000000001</v>
      </c>
      <c r="K40">
        <v>6.1040000000000001</v>
      </c>
      <c r="L40">
        <v>1.6870000000000001</v>
      </c>
      <c r="M40">
        <v>0.77400000000000002</v>
      </c>
      <c r="N40">
        <v>0.91</v>
      </c>
      <c r="O40">
        <v>0.64200000000000002</v>
      </c>
      <c r="P40">
        <v>0.84699999999999998</v>
      </c>
      <c r="Q40">
        <v>6.1509999999999998</v>
      </c>
      <c r="R40">
        <v>11.401999999999999</v>
      </c>
      <c r="S40">
        <v>13.958</v>
      </c>
      <c r="T40">
        <v>10.989000000000001</v>
      </c>
      <c r="V40" s="15">
        <f t="shared" si="1"/>
        <v>4.4905000000000008</v>
      </c>
      <c r="W40" s="15">
        <f t="shared" si="0"/>
        <v>0.12283333333333335</v>
      </c>
      <c r="X40" s="13">
        <f t="shared" si="2"/>
        <v>6.6743333333333332</v>
      </c>
    </row>
    <row r="41" spans="1:24">
      <c r="A41" t="s">
        <v>276</v>
      </c>
      <c r="B41">
        <v>1E-4</v>
      </c>
      <c r="C41">
        <v>1E-4</v>
      </c>
      <c r="D41">
        <v>1E-4</v>
      </c>
      <c r="E41">
        <v>2.9999999999999997E-4</v>
      </c>
      <c r="F41">
        <v>1E-4</v>
      </c>
      <c r="G41">
        <v>2.9999999999999997E-4</v>
      </c>
      <c r="I41" s="13">
        <v>8.0000000000000002E-3</v>
      </c>
      <c r="J41">
        <v>4.4499999999999998E-2</v>
      </c>
      <c r="K41">
        <v>6.0000000000000001E-3</v>
      </c>
      <c r="L41">
        <v>8.0000000000000002E-3</v>
      </c>
      <c r="M41">
        <v>8.9999999999999993E-3</v>
      </c>
      <c r="N41">
        <v>2E-3</v>
      </c>
      <c r="O41">
        <v>4.0000000000000001E-3</v>
      </c>
      <c r="P41">
        <v>3.0000000000000001E-3</v>
      </c>
      <c r="Q41">
        <v>7.0000000000000001E-3</v>
      </c>
      <c r="R41">
        <v>1.4E-2</v>
      </c>
      <c r="S41">
        <v>2.7E-2</v>
      </c>
      <c r="T41">
        <v>1.4E-2</v>
      </c>
      <c r="V41" s="13">
        <f t="shared" si="1"/>
        <v>8.1944444444444452E-3</v>
      </c>
      <c r="W41" s="15">
        <f t="shared" si="0"/>
        <v>1.6666666666666666E-4</v>
      </c>
      <c r="X41" s="13">
        <f t="shared" si="2"/>
        <v>1.2208333333333335E-2</v>
      </c>
    </row>
    <row r="42" spans="1:24">
      <c r="A42" t="s">
        <v>53</v>
      </c>
      <c r="B42">
        <v>5.9999999999999995E-4</v>
      </c>
      <c r="C42">
        <v>1E-3</v>
      </c>
      <c r="D42">
        <v>1E-3</v>
      </c>
      <c r="E42">
        <v>2E-3</v>
      </c>
      <c r="F42">
        <v>6.9999999999999999E-4</v>
      </c>
      <c r="G42">
        <v>1.0200000000000001E-2</v>
      </c>
      <c r="I42" s="23">
        <v>7.3999999999999996E-2</v>
      </c>
      <c r="J42">
        <v>1.002</v>
      </c>
      <c r="K42">
        <v>6.6000000000000003E-2</v>
      </c>
      <c r="L42">
        <v>0.32100000000000001</v>
      </c>
      <c r="M42">
        <v>9.9000000000000005E-2</v>
      </c>
      <c r="N42">
        <v>4.0000000000000001E-3</v>
      </c>
      <c r="O42">
        <v>0.86699999999999999</v>
      </c>
      <c r="P42">
        <v>0.29399999999999998</v>
      </c>
      <c r="Q42">
        <v>9.9000000000000005E-2</v>
      </c>
      <c r="R42">
        <v>0.121</v>
      </c>
      <c r="S42">
        <v>0.214</v>
      </c>
      <c r="T42">
        <v>2.1000000000000001E-2</v>
      </c>
      <c r="V42" s="14">
        <f t="shared" si="1"/>
        <v>0.1776388888888889</v>
      </c>
      <c r="W42" s="15">
        <f t="shared" si="0"/>
        <v>2.5833333333333333E-3</v>
      </c>
      <c r="X42" s="13">
        <f t="shared" si="2"/>
        <v>0.26516666666666666</v>
      </c>
    </row>
    <row r="43" spans="1:24">
      <c r="A43" t="s">
        <v>52</v>
      </c>
      <c r="B43">
        <v>3.5000000000000003E-2</v>
      </c>
      <c r="C43">
        <v>1E-3</v>
      </c>
      <c r="D43">
        <v>1.6E-2</v>
      </c>
      <c r="E43">
        <v>2E-3</v>
      </c>
      <c r="F43">
        <v>9.1000000000000004E-3</v>
      </c>
      <c r="G43">
        <v>9.1000000000000004E-3</v>
      </c>
      <c r="I43" s="13">
        <v>0.28499999999999998</v>
      </c>
      <c r="J43">
        <v>3.125</v>
      </c>
      <c r="K43">
        <v>0.84499999999999997</v>
      </c>
      <c r="L43">
        <v>1.18</v>
      </c>
      <c r="M43">
        <v>0.437</v>
      </c>
      <c r="N43">
        <v>0.115</v>
      </c>
      <c r="O43">
        <v>1.042</v>
      </c>
      <c r="P43">
        <v>0.56299999999999994</v>
      </c>
      <c r="Q43">
        <v>1.891</v>
      </c>
      <c r="R43">
        <v>1.49</v>
      </c>
      <c r="S43">
        <v>3.452</v>
      </c>
      <c r="T43">
        <v>0.59499999999999997</v>
      </c>
      <c r="V43" s="14">
        <f t="shared" si="1"/>
        <v>0.83845555555555551</v>
      </c>
      <c r="W43" s="15">
        <f t="shared" si="0"/>
        <v>1.2033333333333333E-2</v>
      </c>
      <c r="X43" s="13">
        <f t="shared" si="2"/>
        <v>1.2516666666666667</v>
      </c>
    </row>
    <row r="44" spans="1:24">
      <c r="A44" t="s">
        <v>216</v>
      </c>
      <c r="B44">
        <v>8.2000000000000003E-2</v>
      </c>
      <c r="C44">
        <v>0.65</v>
      </c>
      <c r="D44">
        <v>0.33400000000000002</v>
      </c>
      <c r="E44">
        <v>0.02</v>
      </c>
      <c r="F44">
        <v>8.3000000000000004E-2</v>
      </c>
      <c r="G44">
        <v>7.0999999999999994E-2</v>
      </c>
      <c r="I44" s="13">
        <v>3.33</v>
      </c>
      <c r="J44">
        <v>138.69999999999999</v>
      </c>
      <c r="K44">
        <v>21.11</v>
      </c>
      <c r="L44">
        <v>7.3449999999999998</v>
      </c>
      <c r="M44">
        <v>3.6040000000000001</v>
      </c>
      <c r="N44">
        <v>0.35499999999999998</v>
      </c>
      <c r="O44">
        <v>3.911</v>
      </c>
      <c r="P44">
        <v>2.8279999999999998</v>
      </c>
      <c r="Q44">
        <v>27.902999999999999</v>
      </c>
      <c r="R44">
        <v>45.853999999999999</v>
      </c>
      <c r="S44">
        <v>70.057000000000002</v>
      </c>
      <c r="T44">
        <v>42.481000000000002</v>
      </c>
      <c r="V44" s="15">
        <f t="shared" si="1"/>
        <v>20.484333333333336</v>
      </c>
      <c r="W44" s="15">
        <f t="shared" si="0"/>
        <v>0.20666666666666667</v>
      </c>
      <c r="X44" s="13">
        <f t="shared" si="2"/>
        <v>30.623166666666666</v>
      </c>
    </row>
    <row r="48" spans="1:24">
      <c r="A48" t="s">
        <v>140</v>
      </c>
      <c r="B48" t="s">
        <v>239</v>
      </c>
      <c r="V48" t="s">
        <v>288</v>
      </c>
    </row>
    <row r="49" spans="1:23">
      <c r="A49" t="s">
        <v>273</v>
      </c>
      <c r="B49">
        <v>36954</v>
      </c>
      <c r="C49">
        <v>14954</v>
      </c>
      <c r="D49">
        <v>12781</v>
      </c>
      <c r="E49">
        <v>1077</v>
      </c>
      <c r="F49">
        <v>9387</v>
      </c>
      <c r="G49">
        <v>21911</v>
      </c>
      <c r="I49" s="13" t="s">
        <v>247</v>
      </c>
      <c r="J49" t="s">
        <v>247</v>
      </c>
      <c r="K49" s="13" t="s">
        <v>247</v>
      </c>
      <c r="L49" s="13" t="s">
        <v>247</v>
      </c>
      <c r="M49" s="13" t="s">
        <v>247</v>
      </c>
      <c r="N49" s="13" t="s">
        <v>247</v>
      </c>
      <c r="O49" s="13" t="s">
        <v>247</v>
      </c>
      <c r="P49" s="13" t="s">
        <v>247</v>
      </c>
      <c r="Q49" s="13" t="s">
        <v>247</v>
      </c>
      <c r="R49" s="13" t="s">
        <v>247</v>
      </c>
      <c r="S49" s="13" t="s">
        <v>247</v>
      </c>
      <c r="T49" s="13" t="s">
        <v>247</v>
      </c>
      <c r="V49" s="15">
        <f>AVERAGE(B49:T49)</f>
        <v>16177.333333333334</v>
      </c>
    </row>
    <row r="50" spans="1:23">
      <c r="A50" t="s">
        <v>274</v>
      </c>
      <c r="B50">
        <v>115650</v>
      </c>
      <c r="C50">
        <v>5019</v>
      </c>
      <c r="D50">
        <v>2083</v>
      </c>
      <c r="E50">
        <v>230</v>
      </c>
      <c r="F50">
        <v>802</v>
      </c>
      <c r="G50">
        <v>15728</v>
      </c>
      <c r="I50">
        <v>2488</v>
      </c>
      <c r="J50">
        <v>34615</v>
      </c>
      <c r="K50">
        <v>14552</v>
      </c>
      <c r="L50">
        <v>3026</v>
      </c>
      <c r="M50">
        <v>2129</v>
      </c>
      <c r="N50">
        <v>107</v>
      </c>
      <c r="O50">
        <v>1321</v>
      </c>
      <c r="P50">
        <v>5048</v>
      </c>
      <c r="Q50">
        <v>7244</v>
      </c>
      <c r="R50">
        <v>32606</v>
      </c>
      <c r="S50">
        <v>26020</v>
      </c>
      <c r="T50">
        <v>38072</v>
      </c>
      <c r="V50" s="15">
        <f>AVERAGE(B50:T50)</f>
        <v>17041.111111111109</v>
      </c>
    </row>
    <row r="51" spans="1:23">
      <c r="A51" t="s">
        <v>144</v>
      </c>
      <c r="B51">
        <v>1016</v>
      </c>
      <c r="C51">
        <v>48.5</v>
      </c>
      <c r="D51">
        <v>25.7</v>
      </c>
      <c r="E51">
        <v>4.5999999999999996</v>
      </c>
      <c r="F51">
        <v>8.3000000000000007</v>
      </c>
      <c r="G51">
        <v>239</v>
      </c>
      <c r="I51">
        <v>34</v>
      </c>
      <c r="J51">
        <v>611.20000000000005</v>
      </c>
      <c r="K51">
        <v>252.1</v>
      </c>
      <c r="L51">
        <v>64.8</v>
      </c>
      <c r="M51">
        <v>31.2</v>
      </c>
      <c r="N51">
        <v>2.5</v>
      </c>
      <c r="O51">
        <v>26.3</v>
      </c>
      <c r="P51">
        <v>72</v>
      </c>
      <c r="Q51">
        <v>122.6</v>
      </c>
      <c r="R51">
        <v>369.2</v>
      </c>
      <c r="S51">
        <v>328.8</v>
      </c>
      <c r="T51">
        <v>758.2</v>
      </c>
      <c r="V51" s="15">
        <f t="shared" ref="V51:V58" si="3">AVERAGE(B51:T51)</f>
        <v>223.05555555555554</v>
      </c>
    </row>
    <row r="52" spans="1:23">
      <c r="A52" t="s">
        <v>145</v>
      </c>
      <c r="B52">
        <v>105701</v>
      </c>
      <c r="C52">
        <v>4562</v>
      </c>
      <c r="D52">
        <v>1860</v>
      </c>
      <c r="E52">
        <v>201</v>
      </c>
      <c r="F52">
        <v>723</v>
      </c>
      <c r="G52">
        <v>14068</v>
      </c>
      <c r="I52">
        <v>2231</v>
      </c>
      <c r="J52">
        <v>30285</v>
      </c>
      <c r="K52">
        <v>12744</v>
      </c>
      <c r="L52">
        <v>2635</v>
      </c>
      <c r="M52">
        <v>1766</v>
      </c>
      <c r="N52">
        <v>93</v>
      </c>
      <c r="O52">
        <v>1181</v>
      </c>
      <c r="P52">
        <v>4503</v>
      </c>
      <c r="Q52">
        <v>6424</v>
      </c>
      <c r="R52">
        <v>29176</v>
      </c>
      <c r="S52">
        <v>23227</v>
      </c>
      <c r="T52">
        <v>33050</v>
      </c>
      <c r="V52" s="15">
        <f>AVERAGE(B52:T52)</f>
        <v>15246.111111111111</v>
      </c>
    </row>
    <row r="53" spans="1:23">
      <c r="A53" t="s">
        <v>146</v>
      </c>
      <c r="B53">
        <v>8933</v>
      </c>
      <c r="C53">
        <v>409</v>
      </c>
      <c r="D53">
        <v>197</v>
      </c>
      <c r="E53">
        <v>24</v>
      </c>
      <c r="F53">
        <v>71</v>
      </c>
      <c r="G53">
        <v>1421</v>
      </c>
      <c r="I53">
        <v>223.8</v>
      </c>
      <c r="J53">
        <v>3718.7</v>
      </c>
      <c r="K53">
        <v>1555.9</v>
      </c>
      <c r="L53">
        <v>326.2</v>
      </c>
      <c r="M53">
        <v>331.8</v>
      </c>
      <c r="N53">
        <v>10.9</v>
      </c>
      <c r="O53">
        <v>113.9</v>
      </c>
      <c r="P53">
        <v>473</v>
      </c>
      <c r="Q53">
        <v>3060</v>
      </c>
      <c r="R53">
        <v>2464</v>
      </c>
      <c r="S53">
        <v>4264</v>
      </c>
      <c r="T53">
        <v>3263</v>
      </c>
      <c r="V53" s="15">
        <f t="shared" si="3"/>
        <v>1714.4555555555557</v>
      </c>
    </row>
    <row r="54" spans="1:23">
      <c r="A54" t="s">
        <v>275</v>
      </c>
      <c r="B54">
        <v>772.7</v>
      </c>
      <c r="C54">
        <v>47.98</v>
      </c>
      <c r="D54">
        <v>20.32</v>
      </c>
      <c r="E54">
        <v>2.17</v>
      </c>
      <c r="F54">
        <v>8.35</v>
      </c>
      <c r="G54">
        <v>155.18</v>
      </c>
      <c r="I54">
        <v>14.59</v>
      </c>
      <c r="J54">
        <v>280.5</v>
      </c>
      <c r="K54">
        <v>145.11000000000001</v>
      </c>
      <c r="L54">
        <v>45.88</v>
      </c>
      <c r="M54">
        <v>19.73</v>
      </c>
      <c r="N54">
        <v>1.36</v>
      </c>
      <c r="O54">
        <v>10.18</v>
      </c>
      <c r="P54">
        <v>47.14</v>
      </c>
      <c r="Q54">
        <v>67.180000000000007</v>
      </c>
      <c r="R54">
        <v>271.77</v>
      </c>
      <c r="S54">
        <v>241.5</v>
      </c>
      <c r="T54">
        <v>588.39</v>
      </c>
      <c r="V54" s="15">
        <f t="shared" si="3"/>
        <v>152.22388888888889</v>
      </c>
    </row>
    <row r="55" spans="1:23">
      <c r="A55" t="s">
        <v>276</v>
      </c>
      <c r="B55">
        <v>0.89900000000000002</v>
      </c>
      <c r="C55">
        <v>7.5999999999999998E-2</v>
      </c>
      <c r="D55">
        <v>0.03</v>
      </c>
      <c r="E55">
        <v>0.04</v>
      </c>
      <c r="F55">
        <v>0.01</v>
      </c>
      <c r="G55">
        <v>0.19</v>
      </c>
      <c r="I55">
        <v>0.06</v>
      </c>
      <c r="J55">
        <v>0.25</v>
      </c>
      <c r="K55">
        <v>0.08</v>
      </c>
      <c r="L55">
        <v>0.06</v>
      </c>
      <c r="M55">
        <v>0.13</v>
      </c>
      <c r="N55">
        <v>0.02</v>
      </c>
      <c r="O55">
        <v>0.04</v>
      </c>
      <c r="P55">
        <v>0.11</v>
      </c>
      <c r="Q55">
        <v>0.04</v>
      </c>
      <c r="R55">
        <v>0.18</v>
      </c>
      <c r="S55">
        <v>0.25</v>
      </c>
      <c r="T55">
        <v>0.41</v>
      </c>
      <c r="V55" s="15">
        <f t="shared" si="3"/>
        <v>0.15972222222222224</v>
      </c>
    </row>
    <row r="56" spans="1:23">
      <c r="A56" t="s">
        <v>53</v>
      </c>
      <c r="B56">
        <v>4.42</v>
      </c>
      <c r="C56">
        <v>0.34</v>
      </c>
      <c r="D56">
        <v>0.11</v>
      </c>
      <c r="E56">
        <v>0.22</v>
      </c>
      <c r="F56">
        <v>0.04</v>
      </c>
      <c r="G56">
        <v>3.3</v>
      </c>
      <c r="I56">
        <v>0.32</v>
      </c>
      <c r="J56">
        <v>3.59</v>
      </c>
      <c r="K56">
        <v>0.51</v>
      </c>
      <c r="L56">
        <v>1.48</v>
      </c>
      <c r="M56">
        <v>9.8000000000000004E-2</v>
      </c>
      <c r="N56">
        <v>0.02</v>
      </c>
      <c r="O56">
        <v>4.49</v>
      </c>
      <c r="P56">
        <v>5.33</v>
      </c>
      <c r="Q56">
        <v>0.35</v>
      </c>
      <c r="R56">
        <v>0.94</v>
      </c>
      <c r="S56">
        <v>1.21</v>
      </c>
      <c r="T56">
        <v>0.37</v>
      </c>
      <c r="V56" s="15">
        <f t="shared" si="3"/>
        <v>1.5076666666666669</v>
      </c>
    </row>
    <row r="57" spans="1:23">
      <c r="A57" t="s">
        <v>52</v>
      </c>
      <c r="B57">
        <v>26.26</v>
      </c>
      <c r="C57">
        <v>3.31</v>
      </c>
      <c r="D57">
        <v>1.25</v>
      </c>
      <c r="E57">
        <v>0.23</v>
      </c>
      <c r="F57">
        <v>0.57999999999999996</v>
      </c>
      <c r="G57">
        <v>3.23</v>
      </c>
      <c r="I57">
        <v>1.35</v>
      </c>
      <c r="J57">
        <v>12.36</v>
      </c>
      <c r="K57">
        <v>7.23</v>
      </c>
      <c r="L57">
        <v>5.98</v>
      </c>
      <c r="M57">
        <v>4.01</v>
      </c>
      <c r="N57">
        <v>0.62</v>
      </c>
      <c r="O57">
        <v>5.94</v>
      </c>
      <c r="P57">
        <v>11.29</v>
      </c>
      <c r="Q57">
        <v>7.43</v>
      </c>
      <c r="R57">
        <v>12.78</v>
      </c>
      <c r="S57">
        <v>21.49</v>
      </c>
      <c r="T57">
        <v>11.48</v>
      </c>
      <c r="V57" s="15">
        <f t="shared" si="3"/>
        <v>7.6011111111111127</v>
      </c>
    </row>
    <row r="58" spans="1:23">
      <c r="A58" t="s">
        <v>216</v>
      </c>
      <c r="B58">
        <v>138.69999999999999</v>
      </c>
      <c r="C58">
        <v>43.2</v>
      </c>
      <c r="D58">
        <v>58.15</v>
      </c>
      <c r="E58">
        <v>4.01</v>
      </c>
      <c r="F58">
        <v>12.1</v>
      </c>
      <c r="G58">
        <v>58.26</v>
      </c>
      <c r="I58">
        <v>35.99</v>
      </c>
      <c r="J58">
        <v>1257</v>
      </c>
      <c r="K58">
        <v>413.76</v>
      </c>
      <c r="L58">
        <v>85.3</v>
      </c>
      <c r="M58">
        <v>75.73</v>
      </c>
      <c r="N58">
        <v>4.34</v>
      </c>
      <c r="O58">
        <v>51.12</v>
      </c>
      <c r="P58">
        <v>129.75</v>
      </c>
      <c r="Q58">
        <v>215.22</v>
      </c>
      <c r="R58">
        <v>901.1</v>
      </c>
      <c r="S58">
        <v>999.4</v>
      </c>
      <c r="T58">
        <v>1875.5</v>
      </c>
      <c r="V58" s="15">
        <f t="shared" si="3"/>
        <v>353.2572222222222</v>
      </c>
    </row>
    <row r="61" spans="1:23">
      <c r="A61" t="s">
        <v>140</v>
      </c>
      <c r="B61" t="s">
        <v>215</v>
      </c>
      <c r="V61" t="s">
        <v>288</v>
      </c>
      <c r="W61" t="s">
        <v>287</v>
      </c>
    </row>
    <row r="62" spans="1:23">
      <c r="A62" t="s">
        <v>273</v>
      </c>
      <c r="B62" s="15">
        <f>B49/(1-B$29/100)</f>
        <v>49602.68456375839</v>
      </c>
      <c r="C62" s="15">
        <f t="shared" ref="C62:D62" si="4">C49/(1-C$29/100)</f>
        <v>75107.985936715238</v>
      </c>
      <c r="D62" s="15">
        <f t="shared" si="4"/>
        <v>382664.67065868282</v>
      </c>
      <c r="E62" s="15">
        <f t="shared" ref="E62:G62" si="5">E49/(1-E$29/100)</f>
        <v>12266.514806378134</v>
      </c>
      <c r="F62" s="15">
        <f t="shared" si="5"/>
        <v>198037.97468354431</v>
      </c>
      <c r="G62" s="15">
        <f t="shared" si="5"/>
        <v>151948.68238557561</v>
      </c>
      <c r="I62" s="15"/>
      <c r="J62" s="15"/>
      <c r="K62" s="15"/>
      <c r="V62" s="15">
        <f>AVERAGE(B62:T62)</f>
        <v>144938.08550577573</v>
      </c>
      <c r="W62" s="15"/>
    </row>
    <row r="63" spans="1:23">
      <c r="A63" t="s">
        <v>274</v>
      </c>
      <c r="B63" s="15">
        <f t="shared" ref="B63:D71" si="6">B50/(1-B$29/100)</f>
        <v>155234.89932885906</v>
      </c>
      <c r="C63" s="15">
        <f t="shared" si="6"/>
        <v>25208.437970868916</v>
      </c>
      <c r="D63" s="15">
        <f t="shared" si="6"/>
        <v>62365.269461077871</v>
      </c>
      <c r="E63" s="15">
        <f t="shared" ref="E63:G63" si="7">E50/(1-E$29/100)</f>
        <v>2619.5899772209568</v>
      </c>
      <c r="F63" s="15">
        <f t="shared" si="7"/>
        <v>16919.831223628691</v>
      </c>
      <c r="G63" s="15">
        <f t="shared" si="7"/>
        <v>109070.73509015256</v>
      </c>
      <c r="I63" s="15">
        <f t="shared" ref="I63:K63" si="8">I50/(1-I$29/100)</f>
        <v>10163.398692810457</v>
      </c>
      <c r="J63" s="15">
        <f t="shared" si="8"/>
        <v>625949.3670886074</v>
      </c>
      <c r="K63" s="15">
        <f t="shared" si="8"/>
        <v>156473.11827956993</v>
      </c>
      <c r="L63" s="15">
        <f t="shared" ref="L63:T63" si="9">L50/(1-L$29/100)</f>
        <v>65639.913232104082</v>
      </c>
      <c r="M63" s="15">
        <f t="shared" si="9"/>
        <v>4132.3757763975145</v>
      </c>
      <c r="N63" s="15">
        <f t="shared" si="9"/>
        <v>1261.7924528301889</v>
      </c>
      <c r="O63" s="15">
        <f t="shared" si="9"/>
        <v>32698.019801980114</v>
      </c>
      <c r="P63" s="15">
        <f t="shared" si="9"/>
        <v>104948.02494802487</v>
      </c>
      <c r="Q63" s="15">
        <f t="shared" si="9"/>
        <v>134646.84014869898</v>
      </c>
      <c r="R63" s="15">
        <f t="shared" si="9"/>
        <v>543433.33333333291</v>
      </c>
      <c r="S63" s="15">
        <f t="shared" si="9"/>
        <v>388358.20895522356</v>
      </c>
      <c r="T63" s="15">
        <f t="shared" si="9"/>
        <v>384565.65656565625</v>
      </c>
      <c r="V63" s="15">
        <f>AVERAGE(B63:T63)</f>
        <v>156871.60068483581</v>
      </c>
      <c r="W63" s="15">
        <f t="shared" ref="W63:W71" si="10">AVERAGE(R63:T63)</f>
        <v>438785.73295140424</v>
      </c>
    </row>
    <row r="64" spans="1:23">
      <c r="A64" t="s">
        <v>144</v>
      </c>
      <c r="B64" s="15">
        <f t="shared" si="6"/>
        <v>1363.7583892617449</v>
      </c>
      <c r="C64" s="15">
        <f t="shared" si="6"/>
        <v>243.59618282270222</v>
      </c>
      <c r="D64" s="15">
        <f t="shared" si="6"/>
        <v>769.46107784431172</v>
      </c>
      <c r="E64" s="15">
        <f t="shared" ref="E64:G64" si="11">E51/(1-E$29/100)</f>
        <v>52.391799544419136</v>
      </c>
      <c r="F64" s="15">
        <f t="shared" si="11"/>
        <v>175.10548523206754</v>
      </c>
      <c r="G64" s="15">
        <f t="shared" si="11"/>
        <v>1657.4202496532594</v>
      </c>
      <c r="I64" s="15">
        <f t="shared" ref="I64:K64" si="12">I51/(1-I$29/100)</f>
        <v>138.88888888888889</v>
      </c>
      <c r="J64" s="15">
        <f t="shared" si="12"/>
        <v>11052.441229656417</v>
      </c>
      <c r="K64" s="15">
        <f t="shared" si="12"/>
        <v>2710.7526881720437</v>
      </c>
      <c r="L64" s="15">
        <f t="shared" ref="L64:T64" si="13">L51/(1-L$29/100)</f>
        <v>1405.6399132321033</v>
      </c>
      <c r="M64" s="15">
        <f t="shared" si="13"/>
        <v>60.559006211180112</v>
      </c>
      <c r="N64" s="15">
        <f t="shared" si="13"/>
        <v>29.481132075471702</v>
      </c>
      <c r="O64" s="15">
        <f t="shared" si="13"/>
        <v>650.99009900989938</v>
      </c>
      <c r="P64" s="15">
        <f t="shared" si="13"/>
        <v>1496.8814968814959</v>
      </c>
      <c r="Q64" s="15">
        <f t="shared" si="13"/>
        <v>2278.8104089219346</v>
      </c>
      <c r="R64" s="15">
        <f t="shared" si="13"/>
        <v>6153.3333333333276</v>
      </c>
      <c r="S64" s="15">
        <f t="shared" si="13"/>
        <v>4907.4626865671598</v>
      </c>
      <c r="T64" s="15">
        <f t="shared" si="13"/>
        <v>7658.5858585858523</v>
      </c>
      <c r="V64" s="15">
        <f t="shared" ref="V64:V71" si="14">AVERAGE(B64:T64)</f>
        <v>2378.0866625496819</v>
      </c>
      <c r="W64" s="15">
        <f t="shared" si="10"/>
        <v>6239.7939594954469</v>
      </c>
    </row>
    <row r="65" spans="1:24">
      <c r="A65" t="s">
        <v>145</v>
      </c>
      <c r="B65" s="15">
        <f t="shared" si="6"/>
        <v>141880.53691275168</v>
      </c>
      <c r="C65" s="15">
        <f t="shared" si="6"/>
        <v>22913.108990457062</v>
      </c>
      <c r="D65" s="15">
        <f t="shared" si="6"/>
        <v>55688.622754491043</v>
      </c>
      <c r="E65" s="15">
        <f t="shared" ref="E65:G65" si="15">E52/(1-E$29/100)</f>
        <v>2289.2938496583147</v>
      </c>
      <c r="F65" s="15">
        <f t="shared" si="15"/>
        <v>15253.164556962027</v>
      </c>
      <c r="G65" s="15">
        <f t="shared" si="15"/>
        <v>97558.945908460475</v>
      </c>
      <c r="I65" s="15">
        <f t="shared" ref="I65:K65" si="16">I52/(1-I$29/100)</f>
        <v>9113.5620915032669</v>
      </c>
      <c r="J65" s="15">
        <f t="shared" si="16"/>
        <v>547649.18625678099</v>
      </c>
      <c r="K65" s="15">
        <f t="shared" si="16"/>
        <v>137032.25806451618</v>
      </c>
      <c r="L65" s="15">
        <f t="shared" ref="L65:T65" si="17">L52/(1-L$29/100)</f>
        <v>57158.35140997827</v>
      </c>
      <c r="M65" s="15">
        <f t="shared" si="17"/>
        <v>3427.7950310558999</v>
      </c>
      <c r="N65" s="15">
        <f t="shared" si="17"/>
        <v>1096.6981132075473</v>
      </c>
      <c r="O65" s="15">
        <f t="shared" si="17"/>
        <v>29232.67326732666</v>
      </c>
      <c r="P65" s="15">
        <f t="shared" si="17"/>
        <v>93617.463617463553</v>
      </c>
      <c r="Q65" s="15">
        <f t="shared" si="17"/>
        <v>119405.20446096663</v>
      </c>
      <c r="R65" s="15">
        <f t="shared" si="17"/>
        <v>486266.66666666622</v>
      </c>
      <c r="S65" s="15">
        <f t="shared" si="17"/>
        <v>346671.64179104444</v>
      </c>
      <c r="T65" s="15">
        <f t="shared" si="17"/>
        <v>333838.38383838354</v>
      </c>
      <c r="V65" s="15">
        <f>AVERAGE(B65:T65)</f>
        <v>138894.08653231518</v>
      </c>
      <c r="W65" s="15">
        <f t="shared" si="10"/>
        <v>388925.56409869809</v>
      </c>
    </row>
    <row r="66" spans="1:24">
      <c r="A66" t="s">
        <v>146</v>
      </c>
      <c r="B66" s="15">
        <f t="shared" si="6"/>
        <v>11990.604026845638</v>
      </c>
      <c r="C66" s="15">
        <f t="shared" si="6"/>
        <v>2054.2440984429941</v>
      </c>
      <c r="D66" s="15">
        <f t="shared" si="6"/>
        <v>5898.2035928143741</v>
      </c>
      <c r="E66" s="15">
        <f t="shared" ref="E66:G66" si="18">E53/(1-E$29/100)</f>
        <v>273.34851936218683</v>
      </c>
      <c r="F66" s="15">
        <f t="shared" si="18"/>
        <v>1497.8902953586498</v>
      </c>
      <c r="G66" s="15">
        <f t="shared" si="18"/>
        <v>9854.3689320388348</v>
      </c>
      <c r="I66" s="15">
        <f t="shared" ref="I66:K66" si="19">I53/(1-I$29/100)</f>
        <v>914.21568627450984</v>
      </c>
      <c r="J66" s="15">
        <f t="shared" si="19"/>
        <v>67245.931283905942</v>
      </c>
      <c r="K66" s="15">
        <f t="shared" si="19"/>
        <v>16730.107526881726</v>
      </c>
      <c r="L66" s="15">
        <f t="shared" ref="L66:T66" si="20">L53/(1-L$29/100)</f>
        <v>7075.9219088937043</v>
      </c>
      <c r="M66" s="15">
        <f t="shared" si="20"/>
        <v>644.02173913043464</v>
      </c>
      <c r="N66" s="15">
        <f t="shared" si="20"/>
        <v>128.53773584905662</v>
      </c>
      <c r="O66" s="15">
        <f t="shared" si="20"/>
        <v>2819.3069306930624</v>
      </c>
      <c r="P66" s="15">
        <f t="shared" si="20"/>
        <v>9833.6798336798274</v>
      </c>
      <c r="Q66" s="15">
        <f t="shared" si="20"/>
        <v>56877.32342007439</v>
      </c>
      <c r="R66" s="15">
        <f t="shared" si="20"/>
        <v>41066.666666666628</v>
      </c>
      <c r="S66" s="15">
        <f t="shared" si="20"/>
        <v>63641.791044776066</v>
      </c>
      <c r="T66" s="15">
        <f t="shared" si="20"/>
        <v>32959.595959595928</v>
      </c>
      <c r="V66" s="15">
        <f t="shared" si="14"/>
        <v>18416.986622293553</v>
      </c>
      <c r="W66" s="15">
        <f t="shared" si="10"/>
        <v>45889.351223679543</v>
      </c>
    </row>
    <row r="67" spans="1:24">
      <c r="A67" t="s">
        <v>275</v>
      </c>
      <c r="B67" s="15">
        <f t="shared" si="6"/>
        <v>1037.1812080536913</v>
      </c>
      <c r="C67" s="15">
        <f t="shared" si="6"/>
        <v>240.98442993470624</v>
      </c>
      <c r="D67" s="15">
        <f t="shared" si="6"/>
        <v>608.38323353293436</v>
      </c>
      <c r="E67" s="15">
        <f t="shared" ref="E67:G67" si="21">E54/(1-E$29/100)</f>
        <v>24.715261958997726</v>
      </c>
      <c r="F67" s="15">
        <f t="shared" si="21"/>
        <v>176.16033755274262</v>
      </c>
      <c r="G67" s="15">
        <f t="shared" si="21"/>
        <v>1076.1442441054091</v>
      </c>
      <c r="I67" s="15">
        <f t="shared" ref="I67:K67" si="22">I54/(1-I$29/100)</f>
        <v>59.599673202614376</v>
      </c>
      <c r="J67" s="15">
        <f t="shared" si="22"/>
        <v>5072.3327305605771</v>
      </c>
      <c r="K67" s="15">
        <f t="shared" si="22"/>
        <v>1560.3225806451619</v>
      </c>
      <c r="L67" s="15">
        <f t="shared" ref="L67:T67" si="23">L54/(1-L$29/100)</f>
        <v>995.22776572668056</v>
      </c>
      <c r="M67" s="15">
        <f t="shared" si="23"/>
        <v>38.295807453416145</v>
      </c>
      <c r="N67" s="15">
        <f t="shared" si="23"/>
        <v>16.037735849056606</v>
      </c>
      <c r="O67" s="15">
        <f t="shared" si="23"/>
        <v>251.98019801980132</v>
      </c>
      <c r="P67" s="15">
        <f t="shared" si="23"/>
        <v>980.04158004157944</v>
      </c>
      <c r="Q67" s="15">
        <f t="shared" si="23"/>
        <v>1248.6988847583655</v>
      </c>
      <c r="R67" s="15">
        <f t="shared" si="23"/>
        <v>4529.4999999999955</v>
      </c>
      <c r="S67" s="15">
        <f t="shared" si="23"/>
        <v>3604.4776119402954</v>
      </c>
      <c r="T67" s="15">
        <f t="shared" si="23"/>
        <v>5943.3333333333276</v>
      </c>
      <c r="V67" s="15">
        <f t="shared" si="14"/>
        <v>1525.7453675927418</v>
      </c>
      <c r="W67" s="15">
        <f t="shared" si="10"/>
        <v>4692.4369817578727</v>
      </c>
    </row>
    <row r="68" spans="1:24">
      <c r="A68" t="s">
        <v>276</v>
      </c>
      <c r="B68" s="14">
        <f t="shared" si="6"/>
        <v>1.2067114093959732</v>
      </c>
      <c r="C68" s="14">
        <f t="shared" si="6"/>
        <v>0.38171772978402824</v>
      </c>
      <c r="D68" s="14">
        <f t="shared" si="6"/>
        <v>0.89820359281437157</v>
      </c>
      <c r="E68" s="14">
        <f t="shared" ref="E68:G68" si="24">E55/(1-E$29/100)</f>
        <v>0.45558086560364469</v>
      </c>
      <c r="F68" s="14">
        <f t="shared" si="24"/>
        <v>0.2109704641350211</v>
      </c>
      <c r="G68" s="14">
        <f t="shared" si="24"/>
        <v>1.317614424410541</v>
      </c>
      <c r="I68" s="14">
        <f t="shared" ref="I68:K68" si="25">I55/(1-I$29/100)</f>
        <v>0.24509803921568624</v>
      </c>
      <c r="J68" s="14">
        <f t="shared" si="25"/>
        <v>4.520795660036165</v>
      </c>
      <c r="K68" s="14">
        <f t="shared" si="25"/>
        <v>0.8602150537634411</v>
      </c>
      <c r="L68" s="14">
        <f t="shared" ref="L68:T68" si="26">L55/(1-L$29/100)</f>
        <v>1.3015184381778733</v>
      </c>
      <c r="M68" s="14">
        <f t="shared" si="26"/>
        <v>0.25232919254658381</v>
      </c>
      <c r="N68" s="14">
        <f t="shared" si="26"/>
        <v>0.23584905660377362</v>
      </c>
      <c r="O68" s="14">
        <f t="shared" si="26"/>
        <v>0.99009900990098765</v>
      </c>
      <c r="P68" s="14">
        <f t="shared" si="26"/>
        <v>2.2869022869022855</v>
      </c>
      <c r="Q68" s="14">
        <f t="shared" si="26"/>
        <v>0.74349442379182218</v>
      </c>
      <c r="R68" s="14">
        <f t="shared" si="26"/>
        <v>2.9999999999999973</v>
      </c>
      <c r="S68" s="14">
        <f t="shared" si="26"/>
        <v>3.7313432835820861</v>
      </c>
      <c r="T68" s="14">
        <f t="shared" si="26"/>
        <v>4.1414141414141374</v>
      </c>
      <c r="V68" s="15">
        <f t="shared" si="14"/>
        <v>1.48776983733769</v>
      </c>
      <c r="W68" s="15">
        <f t="shared" si="10"/>
        <v>3.6242524749987397</v>
      </c>
    </row>
    <row r="69" spans="1:24">
      <c r="A69" t="s">
        <v>53</v>
      </c>
      <c r="B69" s="14">
        <f t="shared" si="6"/>
        <v>5.9328859060402683</v>
      </c>
      <c r="C69" s="14">
        <f t="shared" si="6"/>
        <v>1.7076845806127581</v>
      </c>
      <c r="D69" s="14">
        <f t="shared" si="6"/>
        <v>3.2934131736526959</v>
      </c>
      <c r="E69" s="14">
        <f t="shared" ref="E69:G69" si="27">E56/(1-E$29/100)</f>
        <v>2.5056947608200457</v>
      </c>
      <c r="F69" s="14">
        <f t="shared" si="27"/>
        <v>0.84388185654008441</v>
      </c>
      <c r="G69" s="14">
        <f t="shared" si="27"/>
        <v>22.884882108183078</v>
      </c>
      <c r="I69" s="14">
        <f t="shared" ref="I69:K69" si="28">I56/(1-I$29/100)</f>
        <v>1.3071895424836601</v>
      </c>
      <c r="J69" s="14">
        <f t="shared" si="28"/>
        <v>64.918625678119326</v>
      </c>
      <c r="K69" s="14">
        <f t="shared" si="28"/>
        <v>5.4838709677419368</v>
      </c>
      <c r="L69" s="14">
        <f t="shared" ref="L69:T69" si="29">L56/(1-L$29/100)</f>
        <v>32.104121475054207</v>
      </c>
      <c r="M69" s="14">
        <f t="shared" si="29"/>
        <v>0.19021739130434778</v>
      </c>
      <c r="N69" s="14">
        <f t="shared" si="29"/>
        <v>0.23584905660377362</v>
      </c>
      <c r="O69" s="14">
        <f t="shared" si="29"/>
        <v>111.13861386138586</v>
      </c>
      <c r="P69" s="14">
        <f t="shared" si="29"/>
        <v>110.81081081081074</v>
      </c>
      <c r="Q69" s="14">
        <f t="shared" si="29"/>
        <v>6.505576208178443</v>
      </c>
      <c r="R69" s="14">
        <f t="shared" si="29"/>
        <v>15.666666666666652</v>
      </c>
      <c r="S69" s="14">
        <f t="shared" si="29"/>
        <v>18.059701492537297</v>
      </c>
      <c r="T69" s="14">
        <f t="shared" si="29"/>
        <v>3.7373737373737339</v>
      </c>
      <c r="V69" s="15">
        <f t="shared" si="14"/>
        <v>22.629281070783826</v>
      </c>
      <c r="W69" s="15">
        <f t="shared" si="10"/>
        <v>12.487913965525896</v>
      </c>
    </row>
    <row r="70" spans="1:24">
      <c r="A70" t="s">
        <v>52</v>
      </c>
      <c r="B70" s="15">
        <f t="shared" si="6"/>
        <v>35.24832214765101</v>
      </c>
      <c r="C70" s="15">
        <f t="shared" si="6"/>
        <v>16.624811652435966</v>
      </c>
      <c r="D70" s="15">
        <f t="shared" si="6"/>
        <v>37.425149700598816</v>
      </c>
      <c r="E70" s="15">
        <f t="shared" ref="E70:G70" si="30">E57/(1-E$29/100)</f>
        <v>2.619589977220957</v>
      </c>
      <c r="F70" s="15">
        <f t="shared" si="30"/>
        <v>12.236286919831223</v>
      </c>
      <c r="G70" s="15">
        <f t="shared" si="30"/>
        <v>22.399445214979195</v>
      </c>
      <c r="I70" s="15">
        <f t="shared" ref="I70:K70" si="31">I57/(1-I$29/100)</f>
        <v>5.5147058823529411</v>
      </c>
      <c r="J70" s="15">
        <f t="shared" si="31"/>
        <v>223.50813743218799</v>
      </c>
      <c r="K70" s="15">
        <f t="shared" si="31"/>
        <v>77.741935483870989</v>
      </c>
      <c r="L70" s="15">
        <f t="shared" ref="L70:T70" si="32">L57/(1-L$29/100)</f>
        <v>129.71800433839471</v>
      </c>
      <c r="M70" s="15">
        <f t="shared" si="32"/>
        <v>7.7833850931677002</v>
      </c>
      <c r="N70" s="15">
        <f t="shared" si="32"/>
        <v>7.3113207547169825</v>
      </c>
      <c r="O70" s="15">
        <f t="shared" si="32"/>
        <v>147.02970297029665</v>
      </c>
      <c r="P70" s="15">
        <f t="shared" si="32"/>
        <v>234.71933471933454</v>
      </c>
      <c r="Q70" s="15">
        <f t="shared" si="32"/>
        <v>138.10408921933094</v>
      </c>
      <c r="R70" s="15">
        <f t="shared" si="32"/>
        <v>212.9999999999998</v>
      </c>
      <c r="S70" s="15">
        <f t="shared" si="32"/>
        <v>320.7462686567161</v>
      </c>
      <c r="T70" s="15">
        <f t="shared" si="32"/>
        <v>115.95959595959586</v>
      </c>
      <c r="V70" s="15">
        <f t="shared" si="14"/>
        <v>97.093893673482341</v>
      </c>
      <c r="W70" s="15">
        <f t="shared" si="10"/>
        <v>216.56862153877057</v>
      </c>
    </row>
    <row r="71" spans="1:24">
      <c r="A71" t="s">
        <v>216</v>
      </c>
      <c r="B71" s="15">
        <f t="shared" si="6"/>
        <v>186.17449664429529</v>
      </c>
      <c r="C71" s="15">
        <f t="shared" si="6"/>
        <v>216.97639377197396</v>
      </c>
      <c r="D71" s="15">
        <f t="shared" si="6"/>
        <v>1741.017964071857</v>
      </c>
      <c r="E71" s="15">
        <f t="shared" ref="E71:G71" si="33">E58/(1-E$29/100)</f>
        <v>45.671981776765378</v>
      </c>
      <c r="F71" s="15">
        <f t="shared" si="33"/>
        <v>255.27426160337552</v>
      </c>
      <c r="G71" s="15">
        <f t="shared" si="33"/>
        <v>404.02219140083218</v>
      </c>
      <c r="I71" s="15">
        <f t="shared" ref="I71:K71" si="34">I58/(1-I$29/100)</f>
        <v>147.01797385620915</v>
      </c>
      <c r="J71" s="15">
        <f t="shared" si="34"/>
        <v>22730.560578661836</v>
      </c>
      <c r="K71" s="15">
        <f t="shared" si="34"/>
        <v>4449.032258064517</v>
      </c>
      <c r="L71" s="15">
        <f t="shared" ref="L71:T71" si="35">L58/(1-L$29/100)</f>
        <v>1850.3253796095432</v>
      </c>
      <c r="M71" s="15">
        <f t="shared" si="35"/>
        <v>146.99145962732916</v>
      </c>
      <c r="N71" s="15">
        <f t="shared" si="35"/>
        <v>51.179245283018872</v>
      </c>
      <c r="O71" s="15">
        <f t="shared" si="35"/>
        <v>1265.3465346534622</v>
      </c>
      <c r="P71" s="15">
        <f t="shared" si="35"/>
        <v>2697.5051975051956</v>
      </c>
      <c r="Q71" s="15">
        <f t="shared" si="35"/>
        <v>4000.3717472118988</v>
      </c>
      <c r="R71" s="15">
        <f t="shared" si="35"/>
        <v>15018.333333333321</v>
      </c>
      <c r="S71" s="15">
        <f t="shared" si="35"/>
        <v>14916.417910447748</v>
      </c>
      <c r="T71" s="15">
        <f t="shared" si="35"/>
        <v>18944.444444444427</v>
      </c>
      <c r="V71" s="15">
        <f t="shared" si="14"/>
        <v>4948.1479639982008</v>
      </c>
      <c r="W71" s="15">
        <f t="shared" si="10"/>
        <v>16293.065229408499</v>
      </c>
    </row>
    <row r="73" spans="1:24">
      <c r="A73" s="3" t="s">
        <v>497</v>
      </c>
    </row>
    <row r="74" spans="1:24">
      <c r="B74" s="2" t="s">
        <v>14</v>
      </c>
      <c r="C74" s="2" t="s">
        <v>15</v>
      </c>
      <c r="D74" s="2" t="s">
        <v>16</v>
      </c>
      <c r="E74" s="2" t="s">
        <v>14</v>
      </c>
      <c r="F74" s="2" t="s">
        <v>15</v>
      </c>
      <c r="G74" s="2" t="s">
        <v>16</v>
      </c>
      <c r="H74" s="2"/>
      <c r="I74" s="2" t="s">
        <v>14</v>
      </c>
      <c r="J74" s="2" t="s">
        <v>15</v>
      </c>
      <c r="K74" s="2" t="s">
        <v>16</v>
      </c>
      <c r="L74" s="2" t="s">
        <v>14</v>
      </c>
      <c r="M74" s="2" t="s">
        <v>15</v>
      </c>
      <c r="N74" s="2" t="s">
        <v>16</v>
      </c>
      <c r="O74" s="2" t="s">
        <v>14</v>
      </c>
      <c r="P74" s="2" t="s">
        <v>15</v>
      </c>
      <c r="Q74" s="2" t="s">
        <v>16</v>
      </c>
      <c r="R74" s="2" t="s">
        <v>14</v>
      </c>
      <c r="S74" s="2" t="s">
        <v>15</v>
      </c>
      <c r="T74" s="2" t="s">
        <v>16</v>
      </c>
      <c r="V74" s="45" t="s">
        <v>288</v>
      </c>
      <c r="W74" t="s">
        <v>554</v>
      </c>
      <c r="X74" t="s">
        <v>375</v>
      </c>
    </row>
    <row r="75" spans="1:24">
      <c r="A75" s="45" t="s">
        <v>494</v>
      </c>
      <c r="B75" s="122">
        <f>(B30-B31)*B24</f>
        <v>2992</v>
      </c>
      <c r="C75">
        <f t="shared" ref="C75:T75" si="36">(C30-C31)*C24</f>
        <v>18350</v>
      </c>
      <c r="D75">
        <f t="shared" si="36"/>
        <v>80475</v>
      </c>
      <c r="E75">
        <f t="shared" si="36"/>
        <v>66836</v>
      </c>
      <c r="F75">
        <f t="shared" si="36"/>
        <v>95228</v>
      </c>
      <c r="G75">
        <f t="shared" si="36"/>
        <v>16184</v>
      </c>
      <c r="I75">
        <f t="shared" si="36"/>
        <v>1046565</v>
      </c>
      <c r="J75">
        <f t="shared" si="36"/>
        <v>1476855</v>
      </c>
      <c r="K75">
        <f t="shared" si="36"/>
        <v>668199</v>
      </c>
      <c r="L75">
        <f>(L30-L31)*L24</f>
        <v>1183303</v>
      </c>
      <c r="M75">
        <f t="shared" si="36"/>
        <v>387106</v>
      </c>
      <c r="N75">
        <f t="shared" si="36"/>
        <v>906777</v>
      </c>
      <c r="O75">
        <f t="shared" si="36"/>
        <v>1048110</v>
      </c>
      <c r="P75">
        <f t="shared" si="36"/>
        <v>293463</v>
      </c>
      <c r="Q75">
        <f t="shared" si="36"/>
        <v>1506236</v>
      </c>
      <c r="R75">
        <f t="shared" si="36"/>
        <v>678282</v>
      </c>
      <c r="S75">
        <f t="shared" si="36"/>
        <v>925694</v>
      </c>
      <c r="T75">
        <f t="shared" si="36"/>
        <v>294918</v>
      </c>
      <c r="V75">
        <f>AVERAGE(B75:T75)</f>
        <v>594198.5</v>
      </c>
      <c r="W75">
        <f>AVERAGE(B75:G75)</f>
        <v>46677.5</v>
      </c>
      <c r="X75">
        <f>AVERAGE(I75:T75)</f>
        <v>867959</v>
      </c>
    </row>
    <row r="76" spans="1:24">
      <c r="A76" s="45" t="s">
        <v>495</v>
      </c>
      <c r="B76" s="122">
        <f>B75/849.5*18*2.2046</f>
        <v>139.76567110064747</v>
      </c>
      <c r="C76">
        <f t="shared" ref="C76:K76" si="37">C75/849.5*18*2.2046</f>
        <v>857.18585050029435</v>
      </c>
      <c r="D76">
        <f t="shared" si="37"/>
        <v>3759.2387639788117</v>
      </c>
      <c r="E76">
        <f t="shared" si="37"/>
        <v>3122.1184470865214</v>
      </c>
      <c r="F76">
        <f t="shared" si="37"/>
        <v>4448.397502530901</v>
      </c>
      <c r="G76">
        <f t="shared" si="37"/>
        <v>756.00522095350209</v>
      </c>
      <c r="I76">
        <f t="shared" si="37"/>
        <v>48888.322050618015</v>
      </c>
      <c r="J76">
        <f t="shared" si="37"/>
        <v>68988.512765155974</v>
      </c>
      <c r="K76">
        <f t="shared" si="37"/>
        <v>31213.663657680991</v>
      </c>
      <c r="L76">
        <f t="shared" ref="L76" si="38">L75/849.5*18*2.2046</f>
        <v>55275.781387168929</v>
      </c>
      <c r="M76">
        <f t="shared" ref="M76" si="39">M75/849.5*18*2.2046</f>
        <v>18082.931108652148</v>
      </c>
      <c r="N76">
        <f t="shared" ref="N76" si="40">N75/849.5*18*2.2046</f>
        <v>42358.387681695116</v>
      </c>
      <c r="O76">
        <f t="shared" ref="O76" si="41">O75/849.5*18*2.2046</f>
        <v>48960.493829311366</v>
      </c>
      <c r="P76">
        <f t="shared" ref="P76" si="42">P75/849.5*18*2.2046</f>
        <v>13708.573909829311</v>
      </c>
      <c r="Q76">
        <f t="shared" ref="Q76" si="43">Q75/849.5*18*2.2046</f>
        <v>70360.99110158917</v>
      </c>
      <c r="R76">
        <f t="shared" ref="R76" si="44">R75/849.5*18*2.2046</f>
        <v>31684.672100765158</v>
      </c>
      <c r="S76">
        <f t="shared" ref="S76" si="45">S75/849.5*18*2.2046</f>
        <v>43242.059874278988</v>
      </c>
      <c r="T76">
        <f t="shared" ref="T76" si="46">T75/849.5*18*2.2046</f>
        <v>13776.541507239555</v>
      </c>
      <c r="V76">
        <f>AVERAGE(B76:T76)</f>
        <v>27756.869023896412</v>
      </c>
      <c r="W76">
        <f t="shared" ref="W76" si="47">AVERAGE(B76:G76)</f>
        <v>2180.4519093584463</v>
      </c>
      <c r="X76">
        <f>AVERAGE(I76:T76)</f>
        <v>40545.077581165395</v>
      </c>
    </row>
    <row r="77" spans="1:24">
      <c r="A77" s="45" t="s">
        <v>496</v>
      </c>
      <c r="B77" s="122" t="s">
        <v>557</v>
      </c>
    </row>
    <row r="78" spans="1:24">
      <c r="A78" s="91" t="s">
        <v>145</v>
      </c>
      <c r="B78" s="122">
        <f>B38/B76</f>
        <v>0.21078137262178914</v>
      </c>
      <c r="C78">
        <f t="shared" ref="C78:T78" si="48">C38/C76</f>
        <v>3.7448121642774338E-3</v>
      </c>
      <c r="D78">
        <f t="shared" si="48"/>
        <v>1.3380368515556068E-3</v>
      </c>
      <c r="E78">
        <f t="shared" si="48"/>
        <v>1.5374176480969942E-4</v>
      </c>
      <c r="F78">
        <f t="shared" si="48"/>
        <v>5.2378412645775346E-4</v>
      </c>
      <c r="G78">
        <f t="shared" si="48"/>
        <v>1.071421172169152E-2</v>
      </c>
      <c r="I78">
        <f t="shared" si="48"/>
        <v>1.9871821311317002E-3</v>
      </c>
      <c r="J78">
        <f t="shared" si="48"/>
        <v>2.279698368558452E-2</v>
      </c>
      <c r="K78">
        <f t="shared" si="48"/>
        <v>9.8040397742510839E-3</v>
      </c>
      <c r="L78">
        <f t="shared" si="48"/>
        <v>1.9321300815621088E-3</v>
      </c>
      <c r="M78">
        <f t="shared" si="48"/>
        <v>2.1876984302103388E-3</v>
      </c>
      <c r="N78">
        <f t="shared" si="48"/>
        <v>8.4752989820511827E-5</v>
      </c>
      <c r="O78">
        <f t="shared" si="48"/>
        <v>8.6886378532669971E-4</v>
      </c>
      <c r="P78">
        <f t="shared" si="48"/>
        <v>3.3701536209301622E-3</v>
      </c>
      <c r="Q78">
        <f t="shared" si="48"/>
        <v>4.7723887162870833E-3</v>
      </c>
      <c r="R78">
        <f t="shared" si="48"/>
        <v>2.2052934547589213E-2</v>
      </c>
      <c r="S78">
        <f t="shared" si="48"/>
        <v>1.7721634959758668E-2</v>
      </c>
      <c r="T78">
        <f t="shared" si="48"/>
        <v>2.5575359375562129E-2</v>
      </c>
      <c r="V78">
        <f t="shared" ref="V78:V81" si="49">AVERAGE(B78:T78)</f>
        <v>1.8911671186033079E-2</v>
      </c>
      <c r="W78">
        <f>AVERAGE(C78:G78)</f>
        <v>3.294917325758403E-3</v>
      </c>
      <c r="X78">
        <f t="shared" ref="X78:X81" si="50">AVERAGE(I78:T78)</f>
        <v>9.429510174834517E-3</v>
      </c>
    </row>
    <row r="79" spans="1:24">
      <c r="A79" s="91" t="s">
        <v>146</v>
      </c>
      <c r="B79" s="122">
        <f>B39/B76</f>
        <v>3.3391604413641883E-2</v>
      </c>
      <c r="C79">
        <f t="shared" ref="C79:T79" si="51">C39/C76</f>
        <v>6.2996840146723192E-4</v>
      </c>
      <c r="D79">
        <f t="shared" si="51"/>
        <v>2.6601130249614448E-4</v>
      </c>
      <c r="E79">
        <f t="shared" si="51"/>
        <v>3.395130639547529E-5</v>
      </c>
      <c r="F79">
        <f t="shared" si="51"/>
        <v>9.6169463218294824E-5</v>
      </c>
      <c r="G79">
        <f t="shared" si="51"/>
        <v>2.029086516182073E-3</v>
      </c>
      <c r="I79">
        <f t="shared" si="51"/>
        <v>3.7370887839193167E-4</v>
      </c>
      <c r="J79">
        <f t="shared" si="51"/>
        <v>5.2476852375755298E-3</v>
      </c>
      <c r="K79">
        <f t="shared" si="51"/>
        <v>2.2438250366283163E-3</v>
      </c>
      <c r="L79">
        <f t="shared" si="51"/>
        <v>4.483156886815601E-4</v>
      </c>
      <c r="M79">
        <f t="shared" si="51"/>
        <v>7.7045031672624961E-4</v>
      </c>
      <c r="N79">
        <f t="shared" si="51"/>
        <v>1.8603163225226552E-5</v>
      </c>
      <c r="O79">
        <f t="shared" si="51"/>
        <v>1.5706540924217963E-4</v>
      </c>
      <c r="P79">
        <f t="shared" si="51"/>
        <v>6.6367224335979686E-4</v>
      </c>
      <c r="Q79">
        <f t="shared" si="51"/>
        <v>9.7232854354228687E-4</v>
      </c>
      <c r="R79">
        <f t="shared" si="51"/>
        <v>4.3364816767878719E-3</v>
      </c>
      <c r="S79">
        <f t="shared" si="51"/>
        <v>3.5243464451759333E-3</v>
      </c>
      <c r="T79">
        <f t="shared" si="51"/>
        <v>6.1857324608805518E-3</v>
      </c>
      <c r="V79">
        <f t="shared" si="49"/>
        <v>3.4105003613121407E-3</v>
      </c>
      <c r="W79">
        <f t="shared" ref="W79:W81" si="52">AVERAGE(C79:G79)</f>
        <v>6.1103739795184393E-4</v>
      </c>
      <c r="X79">
        <f t="shared" si="50"/>
        <v>2.0785179250181196E-3</v>
      </c>
    </row>
    <row r="80" spans="1:24">
      <c r="A80" s="91" t="s">
        <v>193</v>
      </c>
      <c r="B80" s="122">
        <f>B37/B76</f>
        <v>6.0100595044909324E-3</v>
      </c>
      <c r="C80">
        <f t="shared" ref="C80:T80" si="53">C37/C76</f>
        <v>1.2832689659517685E-4</v>
      </c>
      <c r="D80">
        <f t="shared" si="53"/>
        <v>5.5862373524190339E-5</v>
      </c>
      <c r="E80">
        <f t="shared" si="53"/>
        <v>1.281181373414162E-5</v>
      </c>
      <c r="F80">
        <f t="shared" si="53"/>
        <v>1.7984004341897114E-5</v>
      </c>
      <c r="G80">
        <f t="shared" si="53"/>
        <v>5.5555171890252328E-4</v>
      </c>
      <c r="I80">
        <f t="shared" si="53"/>
        <v>9.2046521771411741E-5</v>
      </c>
      <c r="J80">
        <f t="shared" si="53"/>
        <v>1.381679299631797E-3</v>
      </c>
      <c r="K80">
        <f t="shared" si="53"/>
        <v>5.8211686392439126E-4</v>
      </c>
      <c r="L80">
        <f t="shared" si="53"/>
        <v>1.5377439787713412E-4</v>
      </c>
      <c r="M80">
        <f t="shared" si="53"/>
        <v>1.277447768904419E-4</v>
      </c>
      <c r="N80">
        <f t="shared" si="53"/>
        <v>8.0267455540317625E-6</v>
      </c>
      <c r="O80">
        <f t="shared" si="53"/>
        <v>7.8022088856323293E-5</v>
      </c>
      <c r="P80">
        <f t="shared" si="53"/>
        <v>1.8601497258380762E-4</v>
      </c>
      <c r="Q80">
        <f t="shared" si="53"/>
        <v>2.8240079750029582E-4</v>
      </c>
      <c r="R80">
        <f t="shared" si="53"/>
        <v>8.3920704356469809E-4</v>
      </c>
      <c r="S80">
        <f t="shared" si="53"/>
        <v>7.6985231732222309E-4</v>
      </c>
      <c r="T80">
        <f t="shared" si="53"/>
        <v>1.7457211584897237E-3</v>
      </c>
      <c r="V80">
        <f t="shared" si="49"/>
        <v>7.2373351641973006E-4</v>
      </c>
      <c r="W80">
        <f t="shared" si="52"/>
        <v>1.5410736141958584E-4</v>
      </c>
      <c r="X80">
        <f t="shared" si="50"/>
        <v>5.2055058199718997E-4</v>
      </c>
    </row>
    <row r="81" spans="1:24">
      <c r="A81" s="91" t="s">
        <v>52</v>
      </c>
      <c r="B81" s="122">
        <f>B43/B76</f>
        <v>2.5041914602045554E-4</v>
      </c>
      <c r="C81">
        <f t="shared" ref="C81:T81" si="54">C43/C76</f>
        <v>1.1666081508652443E-6</v>
      </c>
      <c r="D81">
        <f t="shared" si="54"/>
        <v>4.2561808399383122E-6</v>
      </c>
      <c r="E81">
        <f t="shared" si="54"/>
        <v>6.4059068670708102E-7</v>
      </c>
      <c r="F81">
        <f t="shared" si="54"/>
        <v>2.0456804938907966E-6</v>
      </c>
      <c r="G81">
        <f t="shared" si="54"/>
        <v>1.2036953909554672E-5</v>
      </c>
      <c r="I81">
        <f t="shared" si="54"/>
        <v>5.8296130455227437E-6</v>
      </c>
      <c r="J81">
        <f t="shared" si="54"/>
        <v>4.5297396258386133E-5</v>
      </c>
      <c r="K81">
        <f t="shared" si="54"/>
        <v>2.707147771139849E-5</v>
      </c>
      <c r="L81">
        <f t="shared" si="54"/>
        <v>2.1347504646472736E-5</v>
      </c>
      <c r="M81">
        <f t="shared" si="54"/>
        <v>2.4166436147672342E-5</v>
      </c>
      <c r="N81">
        <f t="shared" si="54"/>
        <v>2.7149286432754486E-6</v>
      </c>
      <c r="O81">
        <f t="shared" si="54"/>
        <v>2.1282465075468294E-5</v>
      </c>
      <c r="P81">
        <f t="shared" si="54"/>
        <v>4.1069188064581841E-5</v>
      </c>
      <c r="Q81">
        <f t="shared" si="54"/>
        <v>2.6875687371568165E-5</v>
      </c>
      <c r="R81">
        <f t="shared" si="54"/>
        <v>4.7025893001556983E-5</v>
      </c>
      <c r="S81">
        <f t="shared" si="54"/>
        <v>7.9829684571832812E-5</v>
      </c>
      <c r="T81">
        <f t="shared" si="54"/>
        <v>4.318935922251083E-5</v>
      </c>
      <c r="V81">
        <f t="shared" si="49"/>
        <v>3.6459155214536581E-5</v>
      </c>
      <c r="W81">
        <f t="shared" si="52"/>
        <v>4.0292028161912214E-6</v>
      </c>
      <c r="X81">
        <f t="shared" si="50"/>
        <v>3.214163614668723E-5</v>
      </c>
    </row>
    <row r="82" spans="1:24">
      <c r="A82" s="91" t="s">
        <v>54</v>
      </c>
      <c r="B82" s="45" t="s">
        <v>407</v>
      </c>
      <c r="C82" s="45" t="s">
        <v>407</v>
      </c>
      <c r="D82" s="45" t="s">
        <v>407</v>
      </c>
      <c r="E82" s="45" t="s">
        <v>407</v>
      </c>
      <c r="F82" s="45" t="s">
        <v>407</v>
      </c>
      <c r="G82" s="45" t="s">
        <v>407</v>
      </c>
      <c r="H82" s="45"/>
      <c r="I82" s="45" t="s">
        <v>407</v>
      </c>
      <c r="J82" s="45" t="s">
        <v>407</v>
      </c>
      <c r="K82" s="45" t="s">
        <v>407</v>
      </c>
      <c r="L82" s="45" t="s">
        <v>407</v>
      </c>
      <c r="M82" s="45" t="s">
        <v>407</v>
      </c>
      <c r="N82" s="45" t="s">
        <v>407</v>
      </c>
      <c r="O82" s="45" t="s">
        <v>407</v>
      </c>
      <c r="P82" s="45" t="s">
        <v>407</v>
      </c>
      <c r="Q82" s="45" t="s">
        <v>407</v>
      </c>
      <c r="R82" s="45" t="s">
        <v>407</v>
      </c>
      <c r="S82" s="45" t="s">
        <v>407</v>
      </c>
      <c r="T82" s="45" t="s">
        <v>407</v>
      </c>
    </row>
    <row r="83" spans="1:24">
      <c r="A83" s="92" t="s">
        <v>339</v>
      </c>
      <c r="B83" s="45" t="s">
        <v>407</v>
      </c>
      <c r="C83" s="45" t="s">
        <v>407</v>
      </c>
      <c r="D83" s="45" t="s">
        <v>407</v>
      </c>
      <c r="E83" s="45" t="s">
        <v>407</v>
      </c>
      <c r="F83" s="45" t="s">
        <v>407</v>
      </c>
      <c r="G83" s="45" t="s">
        <v>407</v>
      </c>
      <c r="H83" s="45"/>
      <c r="I83" s="45" t="s">
        <v>407</v>
      </c>
      <c r="J83" s="45" t="s">
        <v>407</v>
      </c>
      <c r="K83" s="45" t="s">
        <v>407</v>
      </c>
      <c r="L83" s="45" t="s">
        <v>407</v>
      </c>
      <c r="M83" s="45" t="s">
        <v>407</v>
      </c>
      <c r="N83" s="45" t="s">
        <v>407</v>
      </c>
      <c r="O83" s="45" t="s">
        <v>407</v>
      </c>
      <c r="P83" s="45" t="s">
        <v>407</v>
      </c>
      <c r="Q83" s="45" t="s">
        <v>407</v>
      </c>
      <c r="R83" s="45" t="s">
        <v>407</v>
      </c>
      <c r="S83" s="45" t="s">
        <v>407</v>
      </c>
      <c r="T83" s="45" t="s">
        <v>407</v>
      </c>
    </row>
    <row r="84" spans="1:24">
      <c r="A84" s="91" t="s">
        <v>167</v>
      </c>
      <c r="B84" s="45" t="s">
        <v>407</v>
      </c>
      <c r="C84" s="45" t="s">
        <v>407</v>
      </c>
      <c r="D84" s="45" t="s">
        <v>407</v>
      </c>
      <c r="E84" s="45" t="s">
        <v>407</v>
      </c>
      <c r="F84" s="45" t="s">
        <v>407</v>
      </c>
      <c r="G84" s="45" t="s">
        <v>407</v>
      </c>
      <c r="H84" s="45"/>
      <c r="I84" s="45" t="s">
        <v>407</v>
      </c>
      <c r="J84" s="45" t="s">
        <v>407</v>
      </c>
      <c r="K84" s="45" t="s">
        <v>407</v>
      </c>
      <c r="L84" s="45" t="s">
        <v>407</v>
      </c>
      <c r="M84" s="45" t="s">
        <v>407</v>
      </c>
      <c r="N84" s="45" t="s">
        <v>407</v>
      </c>
      <c r="O84" s="45" t="s">
        <v>407</v>
      </c>
      <c r="P84" s="45" t="s">
        <v>407</v>
      </c>
      <c r="Q84" s="45" t="s">
        <v>407</v>
      </c>
      <c r="R84" s="45" t="s">
        <v>407</v>
      </c>
      <c r="S84" s="45" t="s">
        <v>407</v>
      </c>
      <c r="T84" s="45" t="s">
        <v>407</v>
      </c>
    </row>
    <row r="85" spans="1:24">
      <c r="A85" s="91" t="s">
        <v>168</v>
      </c>
      <c r="B85" s="13"/>
    </row>
    <row r="86" spans="1:24">
      <c r="A86" s="93" t="s">
        <v>78</v>
      </c>
      <c r="B86" s="45" t="s">
        <v>407</v>
      </c>
      <c r="C86" s="45" t="s">
        <v>407</v>
      </c>
      <c r="D86" s="45" t="s">
        <v>407</v>
      </c>
      <c r="E86" s="45" t="s">
        <v>407</v>
      </c>
      <c r="F86" s="45" t="s">
        <v>407</v>
      </c>
      <c r="G86" s="45" t="s">
        <v>407</v>
      </c>
      <c r="H86" s="45"/>
      <c r="I86" s="45" t="s">
        <v>407</v>
      </c>
      <c r="J86" s="45" t="s">
        <v>407</v>
      </c>
      <c r="K86" s="45" t="s">
        <v>407</v>
      </c>
      <c r="L86" s="45" t="s">
        <v>407</v>
      </c>
      <c r="M86" s="45" t="s">
        <v>407</v>
      </c>
      <c r="N86" s="45" t="s">
        <v>407</v>
      </c>
      <c r="O86" s="45" t="s">
        <v>407</v>
      </c>
      <c r="P86" s="45" t="s">
        <v>407</v>
      </c>
      <c r="Q86" s="45" t="s">
        <v>407</v>
      </c>
      <c r="R86" s="45" t="s">
        <v>407</v>
      </c>
      <c r="S86" s="45" t="s">
        <v>407</v>
      </c>
      <c r="T86" s="45" t="s">
        <v>407</v>
      </c>
    </row>
    <row r="87" spans="1:24">
      <c r="A87" s="93" t="s">
        <v>56</v>
      </c>
      <c r="B87" s="45" t="s">
        <v>407</v>
      </c>
      <c r="C87" s="45" t="s">
        <v>407</v>
      </c>
      <c r="D87" s="45" t="s">
        <v>407</v>
      </c>
      <c r="E87" s="45" t="s">
        <v>407</v>
      </c>
      <c r="F87" s="45" t="s">
        <v>407</v>
      </c>
      <c r="G87" s="45" t="s">
        <v>407</v>
      </c>
      <c r="H87" s="45"/>
      <c r="I87" s="45" t="s">
        <v>407</v>
      </c>
      <c r="J87" s="45" t="s">
        <v>407</v>
      </c>
      <c r="K87" s="45" t="s">
        <v>407</v>
      </c>
      <c r="L87" s="45" t="s">
        <v>407</v>
      </c>
      <c r="M87" s="45" t="s">
        <v>407</v>
      </c>
      <c r="N87" s="45" t="s">
        <v>407</v>
      </c>
      <c r="O87" s="45" t="s">
        <v>407</v>
      </c>
      <c r="P87" s="45" t="s">
        <v>407</v>
      </c>
      <c r="Q87" s="45" t="s">
        <v>407</v>
      </c>
      <c r="R87" s="45" t="s">
        <v>407</v>
      </c>
      <c r="S87" s="45" t="s">
        <v>407</v>
      </c>
      <c r="T87" s="45" t="s">
        <v>407</v>
      </c>
    </row>
    <row r="88" spans="1:24">
      <c r="A88" s="93" t="s">
        <v>87</v>
      </c>
      <c r="B88" s="45" t="s">
        <v>407</v>
      </c>
      <c r="C88" s="45" t="s">
        <v>407</v>
      </c>
      <c r="D88" s="45" t="s">
        <v>407</v>
      </c>
      <c r="E88" s="45" t="s">
        <v>407</v>
      </c>
      <c r="F88" s="45" t="s">
        <v>407</v>
      </c>
      <c r="G88" s="45" t="s">
        <v>407</v>
      </c>
      <c r="H88" s="45"/>
      <c r="I88" s="45" t="s">
        <v>407</v>
      </c>
      <c r="J88" s="45" t="s">
        <v>407</v>
      </c>
      <c r="K88" s="45" t="s">
        <v>407</v>
      </c>
      <c r="L88" s="45" t="s">
        <v>407</v>
      </c>
      <c r="M88" s="45" t="s">
        <v>407</v>
      </c>
      <c r="N88" s="45" t="s">
        <v>407</v>
      </c>
      <c r="O88" s="45" t="s">
        <v>407</v>
      </c>
      <c r="P88" s="45" t="s">
        <v>407</v>
      </c>
      <c r="Q88" s="45" t="s">
        <v>407</v>
      </c>
      <c r="R88" s="45" t="s">
        <v>407</v>
      </c>
      <c r="S88" s="45" t="s">
        <v>407</v>
      </c>
      <c r="T88" s="45" t="s">
        <v>407</v>
      </c>
    </row>
    <row r="89" spans="1:24">
      <c r="A89" s="93" t="s">
        <v>74</v>
      </c>
      <c r="B89" s="45" t="s">
        <v>407</v>
      </c>
      <c r="C89" s="45" t="s">
        <v>407</v>
      </c>
      <c r="D89" s="45" t="s">
        <v>407</v>
      </c>
      <c r="E89" s="45" t="s">
        <v>407</v>
      </c>
      <c r="F89" s="45" t="s">
        <v>407</v>
      </c>
      <c r="G89" s="45" t="s">
        <v>407</v>
      </c>
      <c r="H89" s="45"/>
      <c r="I89" s="45" t="s">
        <v>407</v>
      </c>
      <c r="J89" s="45" t="s">
        <v>407</v>
      </c>
      <c r="K89" s="45" t="s">
        <v>407</v>
      </c>
      <c r="L89" s="45" t="s">
        <v>407</v>
      </c>
      <c r="M89" s="45" t="s">
        <v>407</v>
      </c>
      <c r="N89" s="45" t="s">
        <v>407</v>
      </c>
      <c r="O89" s="45" t="s">
        <v>407</v>
      </c>
      <c r="P89" s="45" t="s">
        <v>407</v>
      </c>
      <c r="Q89" s="45" t="s">
        <v>407</v>
      </c>
      <c r="R89" s="45" t="s">
        <v>407</v>
      </c>
      <c r="S89" s="45" t="s">
        <v>407</v>
      </c>
      <c r="T89" s="45" t="s">
        <v>407</v>
      </c>
    </row>
    <row r="90" spans="1:24">
      <c r="A90" s="94" t="s">
        <v>76</v>
      </c>
      <c r="B90" s="45" t="s">
        <v>407</v>
      </c>
      <c r="C90" s="45" t="s">
        <v>407</v>
      </c>
      <c r="D90" s="45" t="s">
        <v>407</v>
      </c>
      <c r="E90" s="45" t="s">
        <v>407</v>
      </c>
      <c r="F90" s="45" t="s">
        <v>407</v>
      </c>
      <c r="G90" s="45" t="s">
        <v>407</v>
      </c>
      <c r="H90" s="45"/>
      <c r="I90" s="45" t="s">
        <v>407</v>
      </c>
      <c r="J90" s="45" t="s">
        <v>407</v>
      </c>
      <c r="K90" s="45" t="s">
        <v>407</v>
      </c>
      <c r="L90" s="45" t="s">
        <v>407</v>
      </c>
      <c r="M90" s="45" t="s">
        <v>407</v>
      </c>
      <c r="N90" s="45" t="s">
        <v>407</v>
      </c>
      <c r="O90" s="45" t="s">
        <v>407</v>
      </c>
      <c r="P90" s="45" t="s">
        <v>407</v>
      </c>
      <c r="Q90" s="45" t="s">
        <v>407</v>
      </c>
      <c r="R90" s="45" t="s">
        <v>407</v>
      </c>
      <c r="S90" s="45" t="s">
        <v>407</v>
      </c>
      <c r="T90" s="45" t="s">
        <v>407</v>
      </c>
    </row>
    <row r="91" spans="1:24">
      <c r="A91" s="93" t="s">
        <v>179</v>
      </c>
      <c r="B91" s="45" t="s">
        <v>407</v>
      </c>
      <c r="C91" s="45" t="s">
        <v>407</v>
      </c>
      <c r="D91" s="45" t="s">
        <v>407</v>
      </c>
      <c r="E91" s="45" t="s">
        <v>407</v>
      </c>
      <c r="F91" s="45" t="s">
        <v>407</v>
      </c>
      <c r="G91" s="45" t="s">
        <v>407</v>
      </c>
      <c r="H91" s="45"/>
      <c r="I91" s="45" t="s">
        <v>407</v>
      </c>
      <c r="J91" s="45" t="s">
        <v>407</v>
      </c>
      <c r="K91" s="45" t="s">
        <v>407</v>
      </c>
      <c r="L91" s="45" t="s">
        <v>407</v>
      </c>
      <c r="M91" s="45" t="s">
        <v>407</v>
      </c>
      <c r="N91" s="45" t="s">
        <v>407</v>
      </c>
      <c r="O91" s="45" t="s">
        <v>407</v>
      </c>
      <c r="P91" s="45" t="s">
        <v>407</v>
      </c>
      <c r="Q91" s="45" t="s">
        <v>407</v>
      </c>
      <c r="R91" s="45" t="s">
        <v>407</v>
      </c>
      <c r="S91" s="45" t="s">
        <v>407</v>
      </c>
      <c r="T91" s="45" t="s">
        <v>407</v>
      </c>
    </row>
    <row r="92" spans="1:24">
      <c r="A92" s="93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</row>
    <row r="93" spans="1:24">
      <c r="A93" s="93" t="s">
        <v>88</v>
      </c>
      <c r="B93" s="45" t="s">
        <v>407</v>
      </c>
      <c r="C93" s="45" t="s">
        <v>407</v>
      </c>
      <c r="D93" s="45" t="s">
        <v>407</v>
      </c>
      <c r="E93" s="45" t="s">
        <v>407</v>
      </c>
      <c r="F93" s="45" t="s">
        <v>407</v>
      </c>
      <c r="G93" s="45" t="s">
        <v>407</v>
      </c>
      <c r="H93" s="45"/>
      <c r="I93" s="45" t="s">
        <v>407</v>
      </c>
      <c r="J93" s="45" t="s">
        <v>407</v>
      </c>
      <c r="K93" s="45" t="s">
        <v>407</v>
      </c>
      <c r="L93" s="45" t="s">
        <v>407</v>
      </c>
      <c r="M93" s="45" t="s">
        <v>407</v>
      </c>
      <c r="N93" s="45" t="s">
        <v>407</v>
      </c>
      <c r="O93" s="45" t="s">
        <v>407</v>
      </c>
      <c r="P93" s="45" t="s">
        <v>407</v>
      </c>
      <c r="Q93" s="45" t="s">
        <v>407</v>
      </c>
      <c r="R93" s="45" t="s">
        <v>407</v>
      </c>
      <c r="S93" s="45" t="s">
        <v>407</v>
      </c>
      <c r="T93" s="45" t="s">
        <v>407</v>
      </c>
    </row>
    <row r="94" spans="1:24">
      <c r="A94" s="93" t="s">
        <v>189</v>
      </c>
      <c r="B94" s="45" t="s">
        <v>407</v>
      </c>
      <c r="C94" s="45" t="s">
        <v>407</v>
      </c>
      <c r="D94" s="45" t="s">
        <v>407</v>
      </c>
      <c r="E94" s="45" t="s">
        <v>407</v>
      </c>
      <c r="F94" s="45" t="s">
        <v>407</v>
      </c>
      <c r="G94" s="45" t="s">
        <v>407</v>
      </c>
      <c r="H94" s="45"/>
      <c r="I94" s="45" t="s">
        <v>407</v>
      </c>
      <c r="J94" s="45" t="s">
        <v>407</v>
      </c>
      <c r="K94" s="45" t="s">
        <v>407</v>
      </c>
      <c r="L94" s="45" t="s">
        <v>407</v>
      </c>
      <c r="M94" s="45" t="s">
        <v>407</v>
      </c>
      <c r="N94" s="45" t="s">
        <v>407</v>
      </c>
      <c r="O94" s="45" t="s">
        <v>407</v>
      </c>
      <c r="P94" s="45" t="s">
        <v>407</v>
      </c>
      <c r="Q94" s="45" t="s">
        <v>407</v>
      </c>
      <c r="R94" s="45" t="s">
        <v>407</v>
      </c>
      <c r="S94" s="45" t="s">
        <v>407</v>
      </c>
      <c r="T94" s="45" t="s">
        <v>407</v>
      </c>
    </row>
    <row r="95" spans="1:24">
      <c r="A95" s="93"/>
      <c r="B95" s="95"/>
      <c r="C95" s="95"/>
      <c r="D95" s="95"/>
      <c r="E95" s="95"/>
    </row>
    <row r="96" spans="1:24">
      <c r="A96" s="93" t="s">
        <v>184</v>
      </c>
      <c r="B96" s="45" t="s">
        <v>407</v>
      </c>
      <c r="C96" s="45" t="s">
        <v>407</v>
      </c>
      <c r="D96" s="45" t="s">
        <v>407</v>
      </c>
      <c r="E96" s="45" t="s">
        <v>407</v>
      </c>
      <c r="F96" s="45" t="s">
        <v>407</v>
      </c>
      <c r="G96" s="45" t="s">
        <v>407</v>
      </c>
      <c r="H96" s="45"/>
      <c r="I96" s="45" t="s">
        <v>407</v>
      </c>
      <c r="J96" s="45" t="s">
        <v>407</v>
      </c>
      <c r="K96" s="45" t="s">
        <v>407</v>
      </c>
      <c r="L96" s="45" t="s">
        <v>407</v>
      </c>
      <c r="M96" s="45" t="s">
        <v>407</v>
      </c>
      <c r="N96" s="45" t="s">
        <v>407</v>
      </c>
      <c r="O96" s="45" t="s">
        <v>407</v>
      </c>
      <c r="P96" s="45" t="s">
        <v>407</v>
      </c>
      <c r="Q96" s="45" t="s">
        <v>407</v>
      </c>
      <c r="R96" s="45" t="s">
        <v>407</v>
      </c>
      <c r="S96" s="45" t="s">
        <v>407</v>
      </c>
      <c r="T96" s="45" t="s">
        <v>407</v>
      </c>
    </row>
    <row r="97" spans="1:20">
      <c r="A97" s="93" t="s">
        <v>183</v>
      </c>
      <c r="B97" s="45" t="s">
        <v>407</v>
      </c>
      <c r="C97" s="45" t="s">
        <v>407</v>
      </c>
      <c r="D97" s="45" t="s">
        <v>407</v>
      </c>
      <c r="E97" s="45" t="s">
        <v>407</v>
      </c>
      <c r="F97" s="45" t="s">
        <v>407</v>
      </c>
      <c r="G97" s="45" t="s">
        <v>407</v>
      </c>
      <c r="H97" s="45"/>
      <c r="I97" s="45" t="s">
        <v>407</v>
      </c>
      <c r="J97" s="45" t="s">
        <v>407</v>
      </c>
      <c r="K97" s="45" t="s">
        <v>407</v>
      </c>
      <c r="L97" s="45" t="s">
        <v>407</v>
      </c>
      <c r="M97" s="45" t="s">
        <v>407</v>
      </c>
      <c r="N97" s="45" t="s">
        <v>407</v>
      </c>
      <c r="O97" s="45" t="s">
        <v>407</v>
      </c>
      <c r="P97" s="45" t="s">
        <v>407</v>
      </c>
      <c r="Q97" s="45" t="s">
        <v>407</v>
      </c>
      <c r="R97" s="45" t="s">
        <v>407</v>
      </c>
      <c r="S97" s="45" t="s">
        <v>407</v>
      </c>
      <c r="T97" s="45" t="s">
        <v>407</v>
      </c>
    </row>
    <row r="98" spans="1:20">
      <c r="A98" s="94" t="s">
        <v>142</v>
      </c>
      <c r="B98" s="45" t="s">
        <v>407</v>
      </c>
      <c r="C98" s="45" t="s">
        <v>407</v>
      </c>
      <c r="D98" s="45" t="s">
        <v>407</v>
      </c>
      <c r="E98" s="45" t="s">
        <v>407</v>
      </c>
      <c r="F98" s="45" t="s">
        <v>407</v>
      </c>
      <c r="G98" s="45" t="s">
        <v>407</v>
      </c>
      <c r="H98" s="45"/>
      <c r="I98" s="45" t="s">
        <v>407</v>
      </c>
      <c r="J98" s="45" t="s">
        <v>407</v>
      </c>
      <c r="K98" s="45" t="s">
        <v>407</v>
      </c>
      <c r="L98" s="45" t="s">
        <v>407</v>
      </c>
      <c r="M98" s="45" t="s">
        <v>407</v>
      </c>
      <c r="N98" s="45" t="s">
        <v>407</v>
      </c>
      <c r="O98" s="45" t="s">
        <v>407</v>
      </c>
      <c r="P98" s="45" t="s">
        <v>407</v>
      </c>
      <c r="Q98" s="45" t="s">
        <v>407</v>
      </c>
      <c r="R98" s="45" t="s">
        <v>407</v>
      </c>
      <c r="S98" s="45" t="s">
        <v>407</v>
      </c>
      <c r="T98" s="45" t="s">
        <v>407</v>
      </c>
    </row>
  </sheetData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topLeftCell="A40" workbookViewId="0">
      <selection activeCell="C71" sqref="C71"/>
    </sheetView>
  </sheetViews>
  <sheetFormatPr defaultRowHeight="12.75"/>
  <cols>
    <col min="1" max="1" width="35.5703125" customWidth="1"/>
    <col min="2" max="2" width="12.42578125" bestFit="1" customWidth="1"/>
    <col min="10" max="10" width="24.85546875" customWidth="1"/>
  </cols>
  <sheetData>
    <row r="1" spans="1:16" ht="15.75">
      <c r="A1" t="s">
        <v>271</v>
      </c>
      <c r="C1" s="5"/>
      <c r="J1" t="s">
        <v>18</v>
      </c>
      <c r="K1" s="1">
        <v>40743</v>
      </c>
      <c r="L1" s="1">
        <v>40744</v>
      </c>
      <c r="M1" s="1">
        <v>40745</v>
      </c>
    </row>
    <row r="2" spans="1:16">
      <c r="A2" t="s">
        <v>272</v>
      </c>
      <c r="J2" t="s">
        <v>289</v>
      </c>
      <c r="K2">
        <v>28</v>
      </c>
      <c r="L2">
        <v>9</v>
      </c>
      <c r="M2">
        <v>50</v>
      </c>
    </row>
    <row r="3" spans="1:16">
      <c r="D3" s="8"/>
      <c r="L3" t="s">
        <v>291</v>
      </c>
    </row>
    <row r="4" spans="1:16" ht="14.25">
      <c r="A4" s="2" t="s">
        <v>1</v>
      </c>
      <c r="B4" s="2" t="s">
        <v>2</v>
      </c>
      <c r="J4" s="3" t="s">
        <v>397</v>
      </c>
      <c r="K4" s="129" t="s">
        <v>389</v>
      </c>
      <c r="L4" s="128"/>
      <c r="M4" s="128"/>
      <c r="O4" s="45" t="s">
        <v>414</v>
      </c>
      <c r="P4" s="45"/>
    </row>
    <row r="5" spans="1:16">
      <c r="A5" t="s">
        <v>10</v>
      </c>
      <c r="B5">
        <v>736</v>
      </c>
      <c r="C5">
        <v>736</v>
      </c>
      <c r="D5">
        <v>736</v>
      </c>
      <c r="J5" s="2" t="s">
        <v>69</v>
      </c>
      <c r="K5" s="2" t="s">
        <v>14</v>
      </c>
      <c r="L5" s="2" t="s">
        <v>15</v>
      </c>
      <c r="M5" s="2" t="s">
        <v>16</v>
      </c>
    </row>
    <row r="6" spans="1:16">
      <c r="A6" t="s">
        <v>11</v>
      </c>
      <c r="J6" t="s">
        <v>71</v>
      </c>
      <c r="K6" s="4">
        <v>0.14169999999999999</v>
      </c>
      <c r="L6" s="4"/>
      <c r="M6" s="4">
        <v>0.69279999999999997</v>
      </c>
      <c r="O6" s="4">
        <f>AVERAGE(K6:M6)/1000</f>
        <v>4.1725000000000003E-4</v>
      </c>
      <c r="P6" s="4"/>
    </row>
    <row r="7" spans="1:16">
      <c r="A7" t="s">
        <v>113</v>
      </c>
      <c r="J7" t="s">
        <v>100</v>
      </c>
      <c r="K7" s="4"/>
      <c r="L7" s="4"/>
      <c r="M7" s="4"/>
      <c r="P7" s="4"/>
    </row>
    <row r="8" spans="1:16">
      <c r="A8" t="s">
        <v>114</v>
      </c>
      <c r="D8" s="9"/>
      <c r="J8" t="s">
        <v>72</v>
      </c>
      <c r="K8" s="4">
        <v>0.1197</v>
      </c>
      <c r="L8" s="4"/>
      <c r="M8" s="4">
        <v>0.1933</v>
      </c>
      <c r="O8">
        <f t="shared" ref="O8:O37" si="0">AVERAGE(K8:M8)/1000</f>
        <v>1.5650000000000001E-4</v>
      </c>
      <c r="P8" s="4"/>
    </row>
    <row r="9" spans="1:16">
      <c r="A9" t="s">
        <v>3</v>
      </c>
      <c r="J9" t="s">
        <v>73</v>
      </c>
      <c r="K9" s="4">
        <v>2.5499999999999998E-2</v>
      </c>
      <c r="L9" s="4"/>
      <c r="M9" s="4">
        <v>3.61E-2</v>
      </c>
      <c r="O9">
        <f t="shared" si="0"/>
        <v>3.0800000000000003E-5</v>
      </c>
      <c r="P9" s="4"/>
    </row>
    <row r="10" spans="1:16">
      <c r="A10" t="s">
        <v>4</v>
      </c>
      <c r="J10" t="s">
        <v>74</v>
      </c>
      <c r="K10" s="4">
        <v>0.61019999999999996</v>
      </c>
      <c r="L10" s="4"/>
      <c r="M10" s="4">
        <v>2.2223999999999999</v>
      </c>
      <c r="O10" s="17">
        <f t="shared" si="0"/>
        <v>1.4162999999999999E-3</v>
      </c>
      <c r="P10" s="4"/>
    </row>
    <row r="11" spans="1:16">
      <c r="A11" t="s">
        <v>5</v>
      </c>
      <c r="J11" t="s">
        <v>75</v>
      </c>
      <c r="K11" s="4">
        <v>0.15790000000000001</v>
      </c>
      <c r="L11" s="4"/>
      <c r="M11" s="4">
        <v>0.3256</v>
      </c>
      <c r="O11">
        <f t="shared" si="0"/>
        <v>2.4175000000000002E-4</v>
      </c>
      <c r="P11" s="4"/>
    </row>
    <row r="12" spans="1:16">
      <c r="A12" t="s">
        <v>6</v>
      </c>
      <c r="J12" t="s">
        <v>76</v>
      </c>
      <c r="K12" s="4">
        <v>0.48980000000000001</v>
      </c>
      <c r="L12" s="4"/>
      <c r="M12" s="4">
        <v>2.1644000000000001</v>
      </c>
      <c r="O12" s="55">
        <f>AVERAGE(K12:M12)/1000</f>
        <v>1.3271000000000001E-3</v>
      </c>
      <c r="P12" s="4"/>
    </row>
    <row r="13" spans="1:16">
      <c r="A13" t="s">
        <v>7</v>
      </c>
      <c r="J13" t="s">
        <v>77</v>
      </c>
      <c r="K13" s="4"/>
      <c r="L13" s="4"/>
      <c r="M13" s="4"/>
      <c r="P13" s="4"/>
    </row>
    <row r="14" spans="1:16">
      <c r="A14" t="s">
        <v>8</v>
      </c>
      <c r="J14" t="s">
        <v>102</v>
      </c>
      <c r="K14" s="4">
        <v>2.8999999999999998E-3</v>
      </c>
      <c r="L14" s="4"/>
      <c r="M14" s="4">
        <v>3.8999999999999998E-3</v>
      </c>
      <c r="O14">
        <f t="shared" si="0"/>
        <v>3.3999999999999996E-6</v>
      </c>
      <c r="P14" s="4"/>
    </row>
    <row r="15" spans="1:16">
      <c r="A15" t="s">
        <v>9</v>
      </c>
      <c r="J15" t="s">
        <v>78</v>
      </c>
      <c r="K15" s="10">
        <v>5.9112999999999998</v>
      </c>
      <c r="L15" s="10"/>
      <c r="M15" s="10">
        <v>32.949300000000001</v>
      </c>
      <c r="O15" s="16">
        <f t="shared" si="0"/>
        <v>1.9430299999999998E-2</v>
      </c>
      <c r="P15" s="4"/>
    </row>
    <row r="16" spans="1:16">
      <c r="J16" t="s">
        <v>79</v>
      </c>
      <c r="K16" s="4">
        <v>4.8300000000000003E-2</v>
      </c>
      <c r="L16" s="4"/>
      <c r="M16" s="4">
        <v>7.1400000000000005E-2</v>
      </c>
      <c r="O16">
        <f t="shared" si="0"/>
        <v>5.9849999999999998E-5</v>
      </c>
      <c r="P16" s="4"/>
    </row>
    <row r="17" spans="1:16">
      <c r="A17" t="s">
        <v>212</v>
      </c>
      <c r="J17" t="s">
        <v>56</v>
      </c>
      <c r="K17" s="10">
        <v>3.1503000000000001</v>
      </c>
      <c r="L17" s="10"/>
      <c r="M17" s="10">
        <v>11.7883</v>
      </c>
      <c r="O17" s="16">
        <f t="shared" si="0"/>
        <v>7.4692999999999999E-3</v>
      </c>
      <c r="P17" s="4"/>
    </row>
    <row r="18" spans="1:16">
      <c r="J18" t="s">
        <v>80</v>
      </c>
      <c r="K18" s="4"/>
      <c r="L18" s="4"/>
      <c r="M18" s="4"/>
      <c r="P18" s="4"/>
    </row>
    <row r="19" spans="1:16">
      <c r="B19" t="s">
        <v>14</v>
      </c>
      <c r="C19" t="s">
        <v>15</v>
      </c>
      <c r="D19" t="s">
        <v>16</v>
      </c>
      <c r="J19" t="s">
        <v>81</v>
      </c>
      <c r="K19" s="4"/>
      <c r="L19" s="4"/>
      <c r="M19" s="4"/>
      <c r="P19" s="4"/>
    </row>
    <row r="20" spans="1:16">
      <c r="A20" t="s">
        <v>18</v>
      </c>
      <c r="B20" s="1">
        <v>40753</v>
      </c>
      <c r="C20" s="1">
        <v>40756</v>
      </c>
      <c r="D20" s="1">
        <v>40757</v>
      </c>
      <c r="J20" t="s">
        <v>82</v>
      </c>
      <c r="K20" s="4"/>
      <c r="L20" s="4"/>
      <c r="M20" s="4"/>
      <c r="P20" s="4"/>
    </row>
    <row r="21" spans="1:16">
      <c r="A21" t="s">
        <v>112</v>
      </c>
      <c r="J21" t="s">
        <v>83</v>
      </c>
      <c r="K21" s="4"/>
      <c r="L21" s="4"/>
      <c r="M21" s="4"/>
      <c r="P21" s="4"/>
    </row>
    <row r="22" spans="1:16">
      <c r="A22" t="s">
        <v>285</v>
      </c>
      <c r="B22">
        <v>212.6</v>
      </c>
      <c r="C22">
        <v>262.8</v>
      </c>
      <c r="D22">
        <v>212</v>
      </c>
      <c r="J22" t="s">
        <v>84</v>
      </c>
      <c r="K22" s="4"/>
      <c r="L22" s="4"/>
      <c r="M22" s="4"/>
      <c r="P22" s="4"/>
    </row>
    <row r="23" spans="1:16">
      <c r="A23" t="s">
        <v>213</v>
      </c>
      <c r="B23">
        <v>116</v>
      </c>
      <c r="C23">
        <v>26</v>
      </c>
      <c r="D23">
        <v>5</v>
      </c>
      <c r="J23" t="s">
        <v>85</v>
      </c>
      <c r="K23" s="4"/>
      <c r="L23" s="4"/>
      <c r="M23" s="4"/>
      <c r="P23" s="4"/>
    </row>
    <row r="24" spans="1:16">
      <c r="A24" t="s">
        <v>158</v>
      </c>
      <c r="J24" t="s">
        <v>86</v>
      </c>
      <c r="K24" s="4"/>
      <c r="L24" s="4"/>
      <c r="M24" s="4"/>
      <c r="P24" s="4"/>
    </row>
    <row r="25" spans="1:16">
      <c r="A25" t="s">
        <v>24</v>
      </c>
      <c r="J25" t="s">
        <v>87</v>
      </c>
      <c r="K25" s="10">
        <v>2.0341</v>
      </c>
      <c r="L25" s="10"/>
      <c r="M25" s="10">
        <v>6.4930000000000003</v>
      </c>
      <c r="O25" s="16">
        <f t="shared" si="0"/>
        <v>4.2635500000000005E-3</v>
      </c>
      <c r="P25" s="4"/>
    </row>
    <row r="26" spans="1:16">
      <c r="A26" t="s">
        <v>115</v>
      </c>
      <c r="J26" t="s">
        <v>88</v>
      </c>
      <c r="K26" s="11"/>
      <c r="L26" s="11"/>
      <c r="M26" s="11"/>
      <c r="P26" s="4"/>
    </row>
    <row r="27" spans="1:16">
      <c r="D27">
        <v>72.95</v>
      </c>
      <c r="J27" t="s">
        <v>89</v>
      </c>
      <c r="K27" s="4"/>
      <c r="L27" s="4"/>
      <c r="M27" s="4"/>
      <c r="P27" s="4"/>
    </row>
    <row r="28" spans="1:16">
      <c r="A28" t="s">
        <v>31</v>
      </c>
      <c r="B28">
        <v>98.73</v>
      </c>
      <c r="C28">
        <v>97.81</v>
      </c>
      <c r="D28">
        <v>90</v>
      </c>
      <c r="J28" t="s">
        <v>90</v>
      </c>
      <c r="K28" s="4">
        <v>0.75639999999999996</v>
      </c>
      <c r="L28" s="4"/>
      <c r="M28" s="4">
        <v>1.401</v>
      </c>
      <c r="O28">
        <f t="shared" si="0"/>
        <v>1.0786999999999999E-3</v>
      </c>
      <c r="P28" s="4"/>
    </row>
    <row r="29" spans="1:16">
      <c r="A29" t="s">
        <v>277</v>
      </c>
      <c r="B29">
        <v>3207</v>
      </c>
      <c r="C29">
        <v>1547</v>
      </c>
      <c r="D29">
        <v>2248</v>
      </c>
      <c r="J29" t="s">
        <v>91</v>
      </c>
      <c r="K29" s="4"/>
      <c r="L29" s="4"/>
      <c r="M29" s="4"/>
      <c r="P29" s="4"/>
    </row>
    <row r="30" spans="1:16">
      <c r="A30" t="s">
        <v>278</v>
      </c>
      <c r="B30">
        <f>1932/60</f>
        <v>32.200000000000003</v>
      </c>
      <c r="C30">
        <f>1504/60</f>
        <v>25.066666666666666</v>
      </c>
      <c r="D30">
        <f>28949/60</f>
        <v>482.48333333333335</v>
      </c>
      <c r="J30" t="s">
        <v>93</v>
      </c>
      <c r="K30" s="4"/>
      <c r="L30" s="4"/>
      <c r="M30" s="4"/>
      <c r="P30" s="4"/>
    </row>
    <row r="31" spans="1:16">
      <c r="J31" t="s">
        <v>92</v>
      </c>
      <c r="K31" s="4"/>
      <c r="L31" s="4"/>
      <c r="M31" s="4"/>
      <c r="P31" s="4"/>
    </row>
    <row r="32" spans="1:16">
      <c r="J32" t="s">
        <v>97</v>
      </c>
      <c r="K32" s="4">
        <v>6.1400000000000003E-2</v>
      </c>
      <c r="L32" s="4"/>
      <c r="M32" s="4">
        <v>7.0599999999999996E-2</v>
      </c>
      <c r="O32">
        <f t="shared" si="0"/>
        <v>6.6000000000000005E-5</v>
      </c>
      <c r="P32" s="4"/>
    </row>
    <row r="33" spans="1:16">
      <c r="A33" t="s">
        <v>140</v>
      </c>
      <c r="B33" t="s">
        <v>143</v>
      </c>
      <c r="F33" t="s">
        <v>403</v>
      </c>
      <c r="J33" t="s">
        <v>290</v>
      </c>
      <c r="K33" s="4">
        <v>0.19900000000000001</v>
      </c>
      <c r="L33" s="4"/>
      <c r="M33" s="4">
        <v>0.94310000000000005</v>
      </c>
      <c r="O33">
        <f t="shared" si="0"/>
        <v>5.7105000000000003E-4</v>
      </c>
      <c r="P33" s="4"/>
    </row>
    <row r="34" spans="1:16">
      <c r="A34" t="s">
        <v>312</v>
      </c>
      <c r="B34">
        <v>16.510000000000002</v>
      </c>
      <c r="C34">
        <v>1.26</v>
      </c>
      <c r="D34">
        <v>3.09</v>
      </c>
      <c r="F34" s="14">
        <f>AVERAGE(B34:D34)</f>
        <v>6.953333333333334</v>
      </c>
      <c r="J34" t="s">
        <v>93</v>
      </c>
      <c r="K34" s="4"/>
      <c r="L34" s="4"/>
      <c r="M34" s="4"/>
      <c r="P34" s="4"/>
    </row>
    <row r="35" spans="1:16">
      <c r="A35" t="s">
        <v>145</v>
      </c>
      <c r="B35">
        <v>2.78</v>
      </c>
      <c r="C35">
        <v>0.25</v>
      </c>
      <c r="D35">
        <v>12.37</v>
      </c>
      <c r="F35" s="14">
        <f t="shared" ref="F35:F36" si="1">AVERAGE(B35:D35)</f>
        <v>5.1333333333333329</v>
      </c>
      <c r="J35" t="s">
        <v>94</v>
      </c>
      <c r="K35" s="4"/>
      <c r="L35" s="4"/>
      <c r="M35" s="4"/>
      <c r="P35" s="4"/>
    </row>
    <row r="36" spans="1:16">
      <c r="A36" t="s">
        <v>146</v>
      </c>
      <c r="B36">
        <v>0.41</v>
      </c>
      <c r="C36">
        <v>0.04</v>
      </c>
      <c r="D36">
        <v>1.86</v>
      </c>
      <c r="F36" s="14">
        <f t="shared" si="1"/>
        <v>0.77</v>
      </c>
      <c r="J36" t="s">
        <v>95</v>
      </c>
      <c r="K36" s="4"/>
      <c r="L36" s="4"/>
      <c r="M36" s="4"/>
      <c r="P36" s="4"/>
    </row>
    <row r="37" spans="1:16">
      <c r="J37" t="s">
        <v>96</v>
      </c>
      <c r="K37" s="4">
        <v>0.105</v>
      </c>
      <c r="L37" s="4"/>
      <c r="M37" s="4">
        <v>0.24249999999999999</v>
      </c>
      <c r="O37">
        <f t="shared" si="0"/>
        <v>1.7374999999999999E-4</v>
      </c>
      <c r="P37" s="4"/>
    </row>
    <row r="38" spans="1:16">
      <c r="J38" t="s">
        <v>99</v>
      </c>
      <c r="K38" s="4"/>
      <c r="M38" s="4"/>
      <c r="P38" s="4"/>
    </row>
    <row r="39" spans="1:16">
      <c r="A39" t="s">
        <v>140</v>
      </c>
      <c r="B39" t="s">
        <v>239</v>
      </c>
      <c r="F39" t="s">
        <v>403</v>
      </c>
    </row>
    <row r="40" spans="1:16">
      <c r="A40" t="s">
        <v>312</v>
      </c>
      <c r="B40">
        <v>58961</v>
      </c>
      <c r="C40">
        <v>16843</v>
      </c>
      <c r="D40">
        <v>11205</v>
      </c>
      <c r="F40">
        <f>AVERAGE(B40:D40)</f>
        <v>29003</v>
      </c>
      <c r="J40" t="s">
        <v>175</v>
      </c>
      <c r="K40" s="4">
        <f>SUM(K6:K38)</f>
        <v>13.813500000000001</v>
      </c>
      <c r="L40" s="4"/>
      <c r="M40" s="4">
        <f>SUM(M6:M38)</f>
        <v>59.597700000000003</v>
      </c>
      <c r="O40" s="4">
        <f>AVERAGE(K40:M40)/1000</f>
        <v>3.6705600000000005E-2</v>
      </c>
      <c r="P40" s="4">
        <f>SUM(O6:O38)</f>
        <v>3.6705599999999991E-2</v>
      </c>
    </row>
    <row r="41" spans="1:16">
      <c r="A41" t="s">
        <v>145</v>
      </c>
      <c r="B41">
        <v>27322</v>
      </c>
      <c r="C41">
        <v>9050</v>
      </c>
      <c r="D41">
        <v>123154</v>
      </c>
      <c r="F41">
        <f t="shared" ref="F41:F42" si="2">AVERAGE(B41:D41)</f>
        <v>53175.333333333336</v>
      </c>
      <c r="K41" s="4"/>
      <c r="L41" s="4"/>
      <c r="M41" s="4"/>
    </row>
    <row r="42" spans="1:16">
      <c r="A42" t="s">
        <v>146</v>
      </c>
      <c r="B42">
        <v>2168</v>
      </c>
      <c r="C42">
        <v>862</v>
      </c>
      <c r="D42">
        <v>9853</v>
      </c>
      <c r="F42">
        <f t="shared" si="2"/>
        <v>4294.333333333333</v>
      </c>
      <c r="K42" s="4"/>
      <c r="L42" s="4"/>
      <c r="M42" s="4"/>
    </row>
    <row r="43" spans="1:16">
      <c r="J43" t="s">
        <v>18</v>
      </c>
      <c r="K43" s="1">
        <v>40753</v>
      </c>
      <c r="L43" s="1">
        <v>40756</v>
      </c>
      <c r="M43" s="1">
        <v>40757</v>
      </c>
    </row>
    <row r="44" spans="1:16">
      <c r="J44" t="s">
        <v>289</v>
      </c>
      <c r="K44">
        <v>75</v>
      </c>
      <c r="L44">
        <v>19</v>
      </c>
      <c r="M44">
        <v>5</v>
      </c>
    </row>
    <row r="45" spans="1:16">
      <c r="A45" t="s">
        <v>140</v>
      </c>
      <c r="B45" t="s">
        <v>215</v>
      </c>
      <c r="F45" t="s">
        <v>403</v>
      </c>
      <c r="K45" s="128" t="s">
        <v>70</v>
      </c>
      <c r="L45" s="128"/>
      <c r="M45" s="128"/>
    </row>
    <row r="46" spans="1:16">
      <c r="A46" t="s">
        <v>312</v>
      </c>
      <c r="B46" s="15">
        <f t="shared" ref="B46:D48" si="3">B40/(1-B$28/100)</f>
        <v>4642598.4251968749</v>
      </c>
      <c r="C46" s="15">
        <f t="shared" si="3"/>
        <v>769086.75799086655</v>
      </c>
      <c r="D46" s="15">
        <f>D40/(1-D$27/100)</f>
        <v>41423.290203327175</v>
      </c>
      <c r="F46">
        <f>AVERAGE(B46:D46)</f>
        <v>1817702.8244636897</v>
      </c>
      <c r="J46" s="3" t="s">
        <v>103</v>
      </c>
      <c r="K46" s="2" t="s">
        <v>14</v>
      </c>
      <c r="L46" s="2" t="s">
        <v>15</v>
      </c>
      <c r="M46" s="2" t="s">
        <v>16</v>
      </c>
    </row>
    <row r="47" spans="1:16">
      <c r="A47" t="s">
        <v>145</v>
      </c>
      <c r="B47" s="15">
        <f t="shared" si="3"/>
        <v>2151338.5826771767</v>
      </c>
      <c r="C47" s="15">
        <f t="shared" si="3"/>
        <v>413242.00913241954</v>
      </c>
      <c r="D47" s="15">
        <f>D41/(1-D$27/100)</f>
        <v>455282.80961182999</v>
      </c>
      <c r="F47">
        <f t="shared" ref="F47:F48" si="4">AVERAGE(B47:D47)</f>
        <v>1006621.1338071421</v>
      </c>
      <c r="J47" t="s">
        <v>104</v>
      </c>
      <c r="K47">
        <v>1.8031999999999999</v>
      </c>
      <c r="L47">
        <v>0.21</v>
      </c>
      <c r="M47">
        <v>0.14929999999999999</v>
      </c>
      <c r="O47">
        <f>AVERAGE(K47:M47)</f>
        <v>0.72083333333333321</v>
      </c>
    </row>
    <row r="48" spans="1:16">
      <c r="A48" t="s">
        <v>146</v>
      </c>
      <c r="B48" s="15">
        <f t="shared" si="3"/>
        <v>170708.66141732372</v>
      </c>
      <c r="C48" s="15">
        <f t="shared" si="3"/>
        <v>39360.730593607252</v>
      </c>
      <c r="D48" s="15">
        <f>D42/(1-D$27/100)</f>
        <v>36425.138632162663</v>
      </c>
      <c r="F48">
        <f t="shared" si="4"/>
        <v>82164.843547697878</v>
      </c>
    </row>
    <row r="49" spans="1:15">
      <c r="J49" t="s">
        <v>183</v>
      </c>
      <c r="K49">
        <v>1.1037999999999999</v>
      </c>
      <c r="L49">
        <v>4.2099999999999999E-2</v>
      </c>
      <c r="M49">
        <v>4.65E-2</v>
      </c>
      <c r="O49">
        <f>AVERAGE(K49:M49)</f>
        <v>0.39746666666666663</v>
      </c>
    </row>
    <row r="50" spans="1:15">
      <c r="A50" s="3" t="s">
        <v>497</v>
      </c>
      <c r="J50" t="s">
        <v>142</v>
      </c>
      <c r="K50">
        <v>0.69940000000000002</v>
      </c>
      <c r="L50">
        <v>0.16800000000000001</v>
      </c>
      <c r="M50">
        <v>0.10290000000000001</v>
      </c>
      <c r="O50">
        <f>AVERAGE(K50:M50)</f>
        <v>0.32343333333333335</v>
      </c>
    </row>
    <row r="51" spans="1:15">
      <c r="B51" s="2" t="s">
        <v>14</v>
      </c>
      <c r="C51" s="2" t="s">
        <v>15</v>
      </c>
      <c r="D51" s="2" t="s">
        <v>16</v>
      </c>
      <c r="E51" s="97" t="s">
        <v>186</v>
      </c>
    </row>
    <row r="52" spans="1:15">
      <c r="A52" s="45" t="s">
        <v>494</v>
      </c>
      <c r="B52">
        <f>(B29-B30)*B23</f>
        <v>368276.80000000005</v>
      </c>
      <c r="C52">
        <f t="shared" ref="C52:D52" si="5">(C29-C30)*C23</f>
        <v>39570.26666666667</v>
      </c>
      <c r="D52">
        <f t="shared" si="5"/>
        <v>8827.5833333333339</v>
      </c>
      <c r="E52">
        <f>AVERAGE(B52:D52)</f>
        <v>138891.55000000002</v>
      </c>
    </row>
    <row r="53" spans="1:15">
      <c r="A53" s="45" t="s">
        <v>495</v>
      </c>
      <c r="B53">
        <f>B52/849.5*18*2.2046</f>
        <v>17203.360328475577</v>
      </c>
      <c r="C53">
        <f t="shared" ref="C53:D53" si="6">C52/849.5*18*2.2046</f>
        <v>1848.4508276397883</v>
      </c>
      <c r="D53">
        <f t="shared" si="6"/>
        <v>412.36400694526196</v>
      </c>
      <c r="E53">
        <f t="shared" ref="E53:E75" si="7">AVERAGE(B53:D53)</f>
        <v>6488.0583876868759</v>
      </c>
    </row>
    <row r="54" spans="1:15">
      <c r="A54" s="45" t="s">
        <v>496</v>
      </c>
      <c r="J54" t="s">
        <v>18</v>
      </c>
      <c r="K54" s="1">
        <v>40743</v>
      </c>
      <c r="L54" s="1">
        <v>40744</v>
      </c>
      <c r="M54" s="1">
        <v>40745</v>
      </c>
    </row>
    <row r="55" spans="1:15">
      <c r="A55" s="91" t="s">
        <v>145</v>
      </c>
      <c r="B55">
        <f>B35/B53</f>
        <v>1.6159633623429086E-4</v>
      </c>
      <c r="C55">
        <f t="shared" ref="C55:D55" si="8">C35/C53</f>
        <v>1.3524839084803507E-4</v>
      </c>
      <c r="D55">
        <f t="shared" si="8"/>
        <v>2.9997768456164066E-2</v>
      </c>
      <c r="E55">
        <f t="shared" si="7"/>
        <v>1.0098204394415463E-2</v>
      </c>
      <c r="J55" t="s">
        <v>289</v>
      </c>
      <c r="K55">
        <v>75</v>
      </c>
      <c r="L55">
        <v>19</v>
      </c>
      <c r="M55">
        <v>5</v>
      </c>
    </row>
    <row r="56" spans="1:15">
      <c r="A56" s="91" t="s">
        <v>146</v>
      </c>
      <c r="B56">
        <f>B36/B53</f>
        <v>2.3832553185632824E-5</v>
      </c>
      <c r="C56">
        <f t="shared" ref="C56:D56" si="9">C36/C53</f>
        <v>2.1639742535685612E-5</v>
      </c>
      <c r="D56">
        <f t="shared" si="9"/>
        <v>4.5105779570303291E-3</v>
      </c>
      <c r="E56">
        <f t="shared" si="7"/>
        <v>1.5186834175838825E-3</v>
      </c>
      <c r="L56" t="s">
        <v>291</v>
      </c>
    </row>
    <row r="57" spans="1:15">
      <c r="A57" s="91" t="s">
        <v>193</v>
      </c>
      <c r="B57" s="45" t="s">
        <v>407</v>
      </c>
      <c r="C57" s="45" t="s">
        <v>407</v>
      </c>
      <c r="D57" s="45" t="s">
        <v>407</v>
      </c>
      <c r="J57" s="3" t="s">
        <v>292</v>
      </c>
      <c r="K57" s="128" t="s">
        <v>70</v>
      </c>
      <c r="L57" s="128"/>
      <c r="M57" s="128"/>
    </row>
    <row r="58" spans="1:15">
      <c r="A58" s="91" t="s">
        <v>52</v>
      </c>
      <c r="B58" s="45" t="s">
        <v>407</v>
      </c>
      <c r="C58" s="45" t="s">
        <v>407</v>
      </c>
      <c r="D58" s="45" t="s">
        <v>407</v>
      </c>
      <c r="J58" s="2" t="s">
        <v>69</v>
      </c>
      <c r="K58" s="2" t="s">
        <v>14</v>
      </c>
      <c r="L58" s="2" t="s">
        <v>15</v>
      </c>
      <c r="M58" s="2" t="s">
        <v>16</v>
      </c>
    </row>
    <row r="59" spans="1:15">
      <c r="A59" s="91" t="s">
        <v>54</v>
      </c>
      <c r="B59" s="45" t="s">
        <v>407</v>
      </c>
      <c r="C59" s="45" t="s">
        <v>407</v>
      </c>
      <c r="D59" s="45" t="s">
        <v>407</v>
      </c>
      <c r="J59" t="s">
        <v>293</v>
      </c>
      <c r="K59" s="4"/>
      <c r="L59" s="4"/>
      <c r="M59" s="4"/>
    </row>
    <row r="60" spans="1:15">
      <c r="A60" s="92" t="s">
        <v>339</v>
      </c>
      <c r="B60" s="45" t="s">
        <v>407</v>
      </c>
      <c r="C60" s="45" t="s">
        <v>407</v>
      </c>
      <c r="D60" s="45" t="s">
        <v>407</v>
      </c>
      <c r="J60" t="s">
        <v>294</v>
      </c>
      <c r="K60" s="4"/>
      <c r="L60" s="4"/>
      <c r="M60" s="4"/>
    </row>
    <row r="61" spans="1:15">
      <c r="A61" s="91" t="s">
        <v>167</v>
      </c>
      <c r="B61" s="45" t="s">
        <v>407</v>
      </c>
      <c r="C61" s="45" t="s">
        <v>407</v>
      </c>
      <c r="D61" s="45" t="s">
        <v>407</v>
      </c>
      <c r="J61" t="s">
        <v>295</v>
      </c>
      <c r="K61" s="4"/>
      <c r="L61" s="4"/>
      <c r="M61" s="4"/>
    </row>
    <row r="62" spans="1:15">
      <c r="A62" s="91" t="s">
        <v>168</v>
      </c>
      <c r="B62" s="13"/>
      <c r="J62" t="s">
        <v>296</v>
      </c>
      <c r="K62" s="4">
        <v>1.2860000000000001E-6</v>
      </c>
      <c r="L62" s="4">
        <v>3.0699999999999998E-7</v>
      </c>
      <c r="M62" s="4">
        <v>1.4399999999999999E-7</v>
      </c>
      <c r="O62">
        <f t="shared" ref="O62:O68" si="10">AVERAGE(K62:M62)</f>
        <v>5.7899999999999998E-7</v>
      </c>
    </row>
    <row r="63" spans="1:15">
      <c r="A63" s="93" t="s">
        <v>78</v>
      </c>
      <c r="B63" s="4">
        <f>K15/1000/B$53</f>
        <v>3.4361310157617396E-7</v>
      </c>
      <c r="C63" s="4"/>
      <c r="D63" s="4">
        <f>M15/1000/D53</f>
        <v>7.9903433483644851E-5</v>
      </c>
      <c r="E63">
        <f t="shared" si="7"/>
        <v>4.0123523292610512E-5</v>
      </c>
      <c r="J63" t="s">
        <v>297</v>
      </c>
      <c r="K63" s="4">
        <v>3.9551999999999997E-5</v>
      </c>
      <c r="L63" s="4">
        <v>8.9299999999999996E-7</v>
      </c>
      <c r="M63" s="4">
        <v>6.9699999999999995E-7</v>
      </c>
      <c r="O63">
        <f t="shared" si="10"/>
        <v>1.3713999999999998E-5</v>
      </c>
    </row>
    <row r="64" spans="1:15">
      <c r="A64" s="93" t="s">
        <v>56</v>
      </c>
      <c r="B64" s="4">
        <f>K17/1000/B53</f>
        <v>1.8312120073341242E-7</v>
      </c>
      <c r="C64" s="4"/>
      <c r="D64" s="4">
        <f>M17/1000/D53</f>
        <v>2.8587121575731517E-5</v>
      </c>
      <c r="E64">
        <f t="shared" si="7"/>
        <v>1.4385121388232464E-5</v>
      </c>
      <c r="J64" t="s">
        <v>298</v>
      </c>
      <c r="K64" s="4">
        <v>1.24E-6</v>
      </c>
      <c r="L64" s="4">
        <v>4.27E-7</v>
      </c>
      <c r="M64" s="4">
        <v>3.3299999999999998E-7</v>
      </c>
      <c r="O64">
        <f t="shared" si="10"/>
        <v>6.666666666666666E-7</v>
      </c>
    </row>
    <row r="65" spans="1:15">
      <c r="A65" s="93" t="s">
        <v>87</v>
      </c>
      <c r="B65" s="4">
        <f>K25/1000/B53</f>
        <v>1.182385278899896E-7</v>
      </c>
      <c r="C65" s="4"/>
      <c r="D65" s="4">
        <f>M25/1000/D53</f>
        <v>1.574579713709566E-5</v>
      </c>
      <c r="E65">
        <f t="shared" si="7"/>
        <v>7.9320178324928249E-6</v>
      </c>
      <c r="F65">
        <f>E65/E$63</f>
        <v>0.19768996293387955</v>
      </c>
      <c r="J65" t="s">
        <v>299</v>
      </c>
      <c r="K65" s="4">
        <v>1.8354000000000001E-5</v>
      </c>
      <c r="L65" s="4">
        <v>1.6920000000000001E-6</v>
      </c>
      <c r="M65" s="4">
        <v>5.4419999999999997E-6</v>
      </c>
      <c r="O65">
        <f t="shared" si="10"/>
        <v>8.4959999999999996E-6</v>
      </c>
    </row>
    <row r="66" spans="1:15">
      <c r="A66" s="93" t="s">
        <v>74</v>
      </c>
      <c r="B66" s="4">
        <f>K10/1000/B53</f>
        <v>3.5469814521641832E-8</v>
      </c>
      <c r="C66" s="4"/>
      <c r="D66" s="4">
        <f>M10/1000/D53</f>
        <v>5.3894131460775277E-6</v>
      </c>
      <c r="E66">
        <f t="shared" si="7"/>
        <v>2.7124414802995847E-6</v>
      </c>
      <c r="F66">
        <f t="shared" ref="F66:F67" si="11">E66/E$63</f>
        <v>6.7602275615689281E-2</v>
      </c>
      <c r="J66" t="s">
        <v>300</v>
      </c>
      <c r="K66" s="4">
        <v>1.5153E-5</v>
      </c>
      <c r="L66" s="4">
        <v>4.7160000000000002E-6</v>
      </c>
      <c r="M66" s="4">
        <v>1.4640000000000001E-6</v>
      </c>
      <c r="O66">
        <f t="shared" si="10"/>
        <v>7.111000000000001E-6</v>
      </c>
    </row>
    <row r="67" spans="1:15">
      <c r="A67" s="94" t="s">
        <v>76</v>
      </c>
      <c r="B67" s="4">
        <f>K12/1000/B53</f>
        <v>2.8471181830055994E-8</v>
      </c>
      <c r="C67" s="4"/>
      <c r="D67" s="4">
        <f>M12/1000/D53</f>
        <v>5.2487607151593781E-6</v>
      </c>
      <c r="E67">
        <f t="shared" si="7"/>
        <v>2.6386159484947171E-6</v>
      </c>
      <c r="F67">
        <f t="shared" si="11"/>
        <v>6.5762319257258922E-2</v>
      </c>
      <c r="J67" t="s">
        <v>301</v>
      </c>
      <c r="K67" s="4"/>
      <c r="L67" s="4"/>
      <c r="M67" s="4"/>
    </row>
    <row r="68" spans="1:15">
      <c r="A68" s="93" t="s">
        <v>179</v>
      </c>
      <c r="B68" s="4">
        <f>(K40-K15-K17-K10-K12-K25-K32-K16)/1000/B53</f>
        <v>8.7663105998177803E-8</v>
      </c>
      <c r="C68" s="4"/>
      <c r="D68" s="4">
        <f>(M40-M15-M17-M10-M12-M25-M32-M16)/1000/D53</f>
        <v>9.3080383722954395E-6</v>
      </c>
      <c r="E68">
        <f t="shared" si="7"/>
        <v>4.6978507391468083E-6</v>
      </c>
      <c r="J68" t="s">
        <v>302</v>
      </c>
      <c r="K68" s="4">
        <v>3.8720000000000004E-6</v>
      </c>
      <c r="L68" s="4">
        <v>2.3300000000000001E-7</v>
      </c>
      <c r="M68" s="4">
        <v>6.1799999999999995E-7</v>
      </c>
      <c r="O68">
        <f t="shared" si="10"/>
        <v>1.5743333333333335E-6</v>
      </c>
    </row>
    <row r="69" spans="1:15">
      <c r="A69" s="93"/>
      <c r="B69" s="95"/>
      <c r="C69" s="95"/>
      <c r="D69" s="95"/>
      <c r="K69" s="4"/>
      <c r="L69" s="4"/>
      <c r="M69" s="4"/>
    </row>
    <row r="70" spans="1:15">
      <c r="A70" s="93" t="s">
        <v>88</v>
      </c>
      <c r="B70" s="96" t="s">
        <v>407</v>
      </c>
      <c r="C70" s="96" t="s">
        <v>407</v>
      </c>
      <c r="D70" s="96" t="s">
        <v>407</v>
      </c>
      <c r="F70">
        <f t="shared" ref="F70:F71" si="12">E70/E$63</f>
        <v>0</v>
      </c>
      <c r="J70" t="s">
        <v>18</v>
      </c>
      <c r="K70" s="1">
        <v>40745</v>
      </c>
      <c r="L70" s="1">
        <v>40751</v>
      </c>
      <c r="M70" s="1">
        <v>40752</v>
      </c>
    </row>
    <row r="71" spans="1:15">
      <c r="A71" s="93" t="s">
        <v>189</v>
      </c>
      <c r="B71" s="4">
        <f>SUM(K16,K32)/B53/1000</f>
        <v>6.3766611816193199E-9</v>
      </c>
      <c r="C71" s="4"/>
      <c r="D71" s="4">
        <f>SUM(M16,M32)/D53/1000</f>
        <v>3.4435595155822941E-7</v>
      </c>
      <c r="E71">
        <f t="shared" si="7"/>
        <v>1.7536630636992436E-7</v>
      </c>
      <c r="F71">
        <f t="shared" si="12"/>
        <v>4.3706606992367815E-3</v>
      </c>
      <c r="J71" t="s">
        <v>289</v>
      </c>
      <c r="K71">
        <v>119</v>
      </c>
      <c r="L71">
        <v>108</v>
      </c>
      <c r="M71">
        <v>53</v>
      </c>
    </row>
    <row r="72" spans="1:15">
      <c r="A72" s="93"/>
      <c r="B72" s="95"/>
      <c r="C72" s="95"/>
      <c r="D72" s="95"/>
      <c r="J72" t="s">
        <v>307</v>
      </c>
      <c r="K72">
        <v>18</v>
      </c>
      <c r="L72">
        <v>32</v>
      </c>
      <c r="M72">
        <v>41</v>
      </c>
    </row>
    <row r="73" spans="1:15">
      <c r="A73" s="93" t="s">
        <v>184</v>
      </c>
      <c r="B73" s="4">
        <f>K47/B53</f>
        <v>1.048167314739832E-4</v>
      </c>
      <c r="C73" s="4">
        <f t="shared" ref="C73:D73" si="13">L47/C53</f>
        <v>1.1360864831234946E-4</v>
      </c>
      <c r="D73" s="4">
        <f t="shared" si="13"/>
        <v>3.6205875751861723E-4</v>
      </c>
      <c r="E73">
        <f t="shared" si="7"/>
        <v>1.934947124349833E-4</v>
      </c>
      <c r="J73" s="3" t="s">
        <v>303</v>
      </c>
      <c r="K73" s="4"/>
      <c r="L73" s="4"/>
      <c r="M73" s="4"/>
    </row>
    <row r="74" spans="1:15">
      <c r="A74" s="93" t="s">
        <v>183</v>
      </c>
      <c r="B74" s="4">
        <f>K49/B53</f>
        <v>6.4161883430003682E-5</v>
      </c>
      <c r="C74" s="4">
        <f t="shared" ref="C74:D74" si="14">L49/C53</f>
        <v>2.2775829018809108E-5</v>
      </c>
      <c r="D74" s="4">
        <f t="shared" si="14"/>
        <v>1.1276444892575821E-4</v>
      </c>
      <c r="E74">
        <f t="shared" si="7"/>
        <v>6.6567387124856993E-5</v>
      </c>
      <c r="J74" t="s">
        <v>304</v>
      </c>
      <c r="K74" s="4">
        <v>6.3000000000000003E-4</v>
      </c>
      <c r="L74" s="4">
        <v>2.0899999999999998E-3</v>
      </c>
      <c r="M74" s="4">
        <v>3.5E-4</v>
      </c>
      <c r="N74" t="s">
        <v>309</v>
      </c>
    </row>
    <row r="75" spans="1:15">
      <c r="A75" s="94" t="s">
        <v>142</v>
      </c>
      <c r="B75" s="4">
        <f>K50/B53</f>
        <v>4.065484804397951E-5</v>
      </c>
      <c r="C75" s="4">
        <f t="shared" ref="C75:D75" si="15">L50/C53</f>
        <v>9.0886918649879579E-5</v>
      </c>
      <c r="D75" s="4">
        <f t="shared" si="15"/>
        <v>2.4953681278409726E-4</v>
      </c>
      <c r="E75">
        <f t="shared" si="7"/>
        <v>1.2702619315931878E-4</v>
      </c>
      <c r="J75" t="s">
        <v>305</v>
      </c>
      <c r="K75" s="4">
        <v>2.0670000000000001E-2</v>
      </c>
      <c r="L75" s="4">
        <v>5.4000000000000001E-4</v>
      </c>
      <c r="M75" s="4">
        <v>2.7200000000000002E-3</v>
      </c>
      <c r="N75" t="s">
        <v>310</v>
      </c>
    </row>
    <row r="76" spans="1:15">
      <c r="J76" t="s">
        <v>306</v>
      </c>
      <c r="K76" s="4">
        <f>K77-K75-K74</f>
        <v>2.4010000000000004E-2</v>
      </c>
      <c r="L76" s="4">
        <f t="shared" ref="L76:M76" si="16">L77-L75-L74</f>
        <v>2.1659999999999999E-2</v>
      </c>
      <c r="M76" s="4">
        <f t="shared" si="16"/>
        <v>2.5819999999999999E-2</v>
      </c>
      <c r="N76" t="s">
        <v>309</v>
      </c>
    </row>
    <row r="77" spans="1:15">
      <c r="J77" t="s">
        <v>308</v>
      </c>
      <c r="K77" s="4">
        <v>4.5310000000000003E-2</v>
      </c>
      <c r="L77" s="4">
        <v>2.4289999999999999E-2</v>
      </c>
      <c r="M77" s="4">
        <v>2.8889999999999999E-2</v>
      </c>
      <c r="N77" t="s">
        <v>311</v>
      </c>
    </row>
  </sheetData>
  <mergeCells count="3">
    <mergeCell ref="K45:M45"/>
    <mergeCell ref="K4:M4"/>
    <mergeCell ref="K57:M57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selection activeCell="B37" sqref="B37"/>
    </sheetView>
  </sheetViews>
  <sheetFormatPr defaultRowHeight="12.75"/>
  <cols>
    <col min="1" max="1" width="12" customWidth="1"/>
    <col min="7" max="7" width="11.42578125" customWidth="1"/>
  </cols>
  <sheetData>
    <row r="1" spans="1:10">
      <c r="A1" t="s">
        <v>368</v>
      </c>
    </row>
    <row r="2" spans="1:10">
      <c r="B2" t="s">
        <v>374</v>
      </c>
    </row>
    <row r="3" spans="1:10">
      <c r="B3" t="s">
        <v>385</v>
      </c>
    </row>
    <row r="4" spans="1:10">
      <c r="B4" t="s">
        <v>386</v>
      </c>
    </row>
    <row r="5" spans="1:10">
      <c r="B5" s="35" t="s">
        <v>384</v>
      </c>
      <c r="C5" s="35"/>
      <c r="D5" s="35"/>
      <c r="E5" s="35"/>
      <c r="F5" s="35"/>
      <c r="G5" s="35"/>
    </row>
    <row r="6" spans="1:10">
      <c r="A6" t="s">
        <v>367</v>
      </c>
      <c r="B6" t="s">
        <v>369</v>
      </c>
      <c r="G6" t="s">
        <v>372</v>
      </c>
      <c r="H6" t="s">
        <v>373</v>
      </c>
    </row>
    <row r="7" spans="1:10">
      <c r="B7" t="s">
        <v>371</v>
      </c>
      <c r="C7" t="s">
        <v>371</v>
      </c>
      <c r="D7" t="s">
        <v>371</v>
      </c>
      <c r="H7" t="s">
        <v>371</v>
      </c>
      <c r="I7" t="s">
        <v>371</v>
      </c>
      <c r="J7" t="s">
        <v>371</v>
      </c>
    </row>
    <row r="8" spans="1:10">
      <c r="B8" t="s">
        <v>364</v>
      </c>
      <c r="C8" t="s">
        <v>365</v>
      </c>
      <c r="D8" t="s">
        <v>366</v>
      </c>
      <c r="H8" t="s">
        <v>364</v>
      </c>
      <c r="I8" t="s">
        <v>365</v>
      </c>
      <c r="J8" t="s">
        <v>366</v>
      </c>
    </row>
    <row r="9" spans="1:10">
      <c r="A9" s="32">
        <v>40210</v>
      </c>
      <c r="B9">
        <v>44.9</v>
      </c>
      <c r="G9" s="32">
        <v>40210</v>
      </c>
      <c r="H9">
        <v>24.5</v>
      </c>
    </row>
    <row r="10" spans="1:10">
      <c r="A10" s="32">
        <v>40238</v>
      </c>
      <c r="B10">
        <v>32.9</v>
      </c>
      <c r="G10" s="32">
        <v>40238</v>
      </c>
      <c r="H10">
        <v>20.6</v>
      </c>
    </row>
    <row r="11" spans="1:10">
      <c r="A11" s="32">
        <v>40269</v>
      </c>
      <c r="B11">
        <v>21.9</v>
      </c>
      <c r="G11" s="32">
        <v>40269</v>
      </c>
      <c r="H11">
        <v>12.3</v>
      </c>
    </row>
    <row r="12" spans="1:10">
      <c r="A12" s="32">
        <v>40299</v>
      </c>
      <c r="B12">
        <v>31.4</v>
      </c>
      <c r="C12">
        <v>7.8</v>
      </c>
      <c r="G12" s="32">
        <v>40299</v>
      </c>
      <c r="H12">
        <v>21.5</v>
      </c>
      <c r="I12">
        <v>7.8</v>
      </c>
    </row>
    <row r="13" spans="1:10">
      <c r="A13" s="32">
        <v>40330</v>
      </c>
      <c r="B13">
        <v>49.2</v>
      </c>
      <c r="C13">
        <v>22.4</v>
      </c>
      <c r="G13" s="32">
        <v>40330</v>
      </c>
      <c r="H13">
        <v>36.9</v>
      </c>
      <c r="I13">
        <v>22.4</v>
      </c>
    </row>
    <row r="14" spans="1:10">
      <c r="A14" s="32">
        <v>40360</v>
      </c>
      <c r="C14">
        <v>13.9</v>
      </c>
      <c r="G14" s="32">
        <v>40360</v>
      </c>
      <c r="I14">
        <v>13.9</v>
      </c>
    </row>
    <row r="15" spans="1:10">
      <c r="A15" s="32">
        <v>40391</v>
      </c>
      <c r="C15">
        <v>8.8000000000000007</v>
      </c>
      <c r="G15" s="32">
        <v>40391</v>
      </c>
      <c r="I15">
        <v>8.8000000000000007</v>
      </c>
    </row>
    <row r="16" spans="1:10">
      <c r="A16" s="32">
        <v>40422</v>
      </c>
      <c r="C16">
        <v>8.6</v>
      </c>
      <c r="G16" s="32">
        <v>40422</v>
      </c>
      <c r="I16">
        <v>8.6</v>
      </c>
    </row>
    <row r="17" spans="1:11">
      <c r="A17" s="32">
        <v>40452</v>
      </c>
      <c r="B17">
        <v>23.2</v>
      </c>
      <c r="C17">
        <v>9.8000000000000007</v>
      </c>
      <c r="G17" s="32">
        <v>40452</v>
      </c>
      <c r="H17">
        <v>14.5</v>
      </c>
      <c r="I17">
        <v>9.8000000000000007</v>
      </c>
    </row>
    <row r="18" spans="1:11">
      <c r="A18" s="32">
        <v>40483</v>
      </c>
      <c r="B18">
        <v>41</v>
      </c>
      <c r="C18">
        <v>12.5</v>
      </c>
      <c r="G18" s="32">
        <v>40483</v>
      </c>
      <c r="H18">
        <v>35.799999999999997</v>
      </c>
      <c r="I18">
        <v>12.5</v>
      </c>
    </row>
    <row r="19" spans="1:11">
      <c r="A19" s="32">
        <v>40513</v>
      </c>
      <c r="B19">
        <v>12.5</v>
      </c>
      <c r="C19">
        <v>8.1</v>
      </c>
      <c r="G19" s="32">
        <v>40513</v>
      </c>
      <c r="H19">
        <v>8.4</v>
      </c>
      <c r="I19">
        <v>8.1</v>
      </c>
    </row>
    <row r="20" spans="1:11">
      <c r="A20" s="32">
        <v>40544</v>
      </c>
      <c r="B20">
        <v>13</v>
      </c>
      <c r="C20">
        <v>4</v>
      </c>
      <c r="G20" s="32">
        <v>40544</v>
      </c>
      <c r="H20">
        <v>8.6999999999999993</v>
      </c>
      <c r="I20">
        <v>4</v>
      </c>
    </row>
    <row r="22" spans="1:11">
      <c r="A22" t="s">
        <v>186</v>
      </c>
      <c r="B22">
        <f>AVERAGE(B9:B20)</f>
        <v>30</v>
      </c>
      <c r="C22" s="14">
        <f>AVERAGE(C9:C20)</f>
        <v>10.655555555555557</v>
      </c>
      <c r="D22" s="33">
        <f>B22+C22</f>
        <v>40.655555555555559</v>
      </c>
      <c r="G22" t="s">
        <v>186</v>
      </c>
      <c r="H22">
        <f>AVERAGE(H9:H20)</f>
        <v>20.355555555555558</v>
      </c>
      <c r="I22" s="14">
        <f>AVERAGE(I9:I20)</f>
        <v>10.655555555555557</v>
      </c>
      <c r="J22" s="33">
        <f>H22+I22</f>
        <v>31.011111111111113</v>
      </c>
    </row>
    <row r="23" spans="1:11">
      <c r="A23" t="s">
        <v>370</v>
      </c>
      <c r="G23" t="s">
        <v>370</v>
      </c>
    </row>
    <row r="26" spans="1:11">
      <c r="G26" s="45" t="s">
        <v>412</v>
      </c>
    </row>
    <row r="27" spans="1:11">
      <c r="H27" s="24">
        <f>ROUND(H28/28.5*4,0)</f>
        <v>1229</v>
      </c>
      <c r="I27" t="s">
        <v>378</v>
      </c>
    </row>
    <row r="28" spans="1:11">
      <c r="A28" t="s">
        <v>376</v>
      </c>
      <c r="H28" s="24">
        <v>8760</v>
      </c>
      <c r="I28" t="s">
        <v>379</v>
      </c>
      <c r="J28" t="s">
        <v>381</v>
      </c>
    </row>
    <row r="29" spans="1:11">
      <c r="B29" t="s">
        <v>377</v>
      </c>
      <c r="G29" t="s">
        <v>380</v>
      </c>
      <c r="J29" t="s">
        <v>382</v>
      </c>
      <c r="K29" t="s">
        <v>383</v>
      </c>
    </row>
    <row r="30" spans="1:11">
      <c r="A30" t="s">
        <v>274</v>
      </c>
      <c r="B30">
        <v>463.09666666666675</v>
      </c>
      <c r="G30" t="s">
        <v>387</v>
      </c>
      <c r="H30" s="34">
        <f>E31*$H$27/$H$28</f>
        <v>13.905389088660577</v>
      </c>
      <c r="J30" s="34">
        <f>$H30/$D$22</f>
        <v>0.34202924787631916</v>
      </c>
      <c r="K30" s="34">
        <f>$H30/$J$22</f>
        <v>0.44840022141864988</v>
      </c>
    </row>
    <row r="31" spans="1:11">
      <c r="A31" t="s">
        <v>144</v>
      </c>
      <c r="B31" s="36">
        <v>19.942499999999999</v>
      </c>
      <c r="D31" t="s">
        <v>387</v>
      </c>
      <c r="E31" s="31">
        <f>B31+B33</f>
        <v>99.114083333333326</v>
      </c>
      <c r="G31" t="s">
        <v>144</v>
      </c>
      <c r="H31" s="34">
        <f t="shared" ref="H31:H38" si="0">B31*$H$27/$H$28</f>
        <v>2.7978690068493153</v>
      </c>
      <c r="J31" s="34">
        <f>$H31/$D$22</f>
        <v>6.8818860512828192E-2</v>
      </c>
      <c r="K31" s="34">
        <f>$H31/$J$22</f>
        <v>9.0221501474897298E-2</v>
      </c>
    </row>
    <row r="32" spans="1:11">
      <c r="A32" t="s">
        <v>145</v>
      </c>
      <c r="B32">
        <v>363.98166666666663</v>
      </c>
      <c r="G32" t="s">
        <v>145</v>
      </c>
      <c r="H32" s="13">
        <f t="shared" si="0"/>
        <v>51.065464421613385</v>
      </c>
      <c r="J32" t="s">
        <v>388</v>
      </c>
    </row>
    <row r="33" spans="1:8">
      <c r="A33" t="s">
        <v>146</v>
      </c>
      <c r="B33">
        <v>79.171583333333331</v>
      </c>
      <c r="G33" t="s">
        <v>146</v>
      </c>
      <c r="H33" s="13">
        <f t="shared" si="0"/>
        <v>11.107520081811263</v>
      </c>
    </row>
    <row r="34" spans="1:8">
      <c r="A34" t="s">
        <v>275</v>
      </c>
      <c r="B34">
        <v>6.6743333333333332</v>
      </c>
      <c r="G34" t="s">
        <v>275</v>
      </c>
      <c r="H34" s="13">
        <f t="shared" si="0"/>
        <v>0.93638763318112628</v>
      </c>
    </row>
    <row r="35" spans="1:8">
      <c r="A35" t="s">
        <v>276</v>
      </c>
      <c r="B35">
        <v>1.2208333333333335E-2</v>
      </c>
      <c r="G35" t="s">
        <v>276</v>
      </c>
      <c r="H35" s="13">
        <f t="shared" si="0"/>
        <v>1.7127901445966518E-3</v>
      </c>
    </row>
    <row r="36" spans="1:8">
      <c r="A36" t="s">
        <v>53</v>
      </c>
      <c r="B36">
        <v>0.26516666666666666</v>
      </c>
      <c r="G36" t="s">
        <v>53</v>
      </c>
      <c r="H36" s="13">
        <f t="shared" si="0"/>
        <v>3.7202035768645357E-2</v>
      </c>
    </row>
    <row r="37" spans="1:8">
      <c r="A37" t="s">
        <v>52</v>
      </c>
      <c r="B37">
        <v>1.2516666666666667</v>
      </c>
      <c r="G37" t="s">
        <v>52</v>
      </c>
      <c r="H37" s="13">
        <f t="shared" si="0"/>
        <v>0.17560483257229834</v>
      </c>
    </row>
    <row r="38" spans="1:8">
      <c r="A38" t="s">
        <v>216</v>
      </c>
      <c r="B38">
        <v>30.623166666666666</v>
      </c>
      <c r="G38" t="s">
        <v>216</v>
      </c>
      <c r="H38" s="13">
        <f t="shared" si="0"/>
        <v>4.2963324010654489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2"/>
  <sheetViews>
    <sheetView topLeftCell="A46" workbookViewId="0">
      <selection activeCell="C77" sqref="C77"/>
    </sheetView>
  </sheetViews>
  <sheetFormatPr defaultRowHeight="12.75"/>
  <cols>
    <col min="1" max="1" width="35.5703125" customWidth="1"/>
    <col min="2" max="2" width="10.5703125" bestFit="1" customWidth="1"/>
    <col min="9" max="9" width="23.85546875" customWidth="1"/>
    <col min="10" max="10" width="9.7109375" customWidth="1"/>
  </cols>
  <sheetData>
    <row r="1" spans="1:12" ht="15.75">
      <c r="A1" t="s">
        <v>203</v>
      </c>
      <c r="C1" s="5"/>
    </row>
    <row r="2" spans="1:12">
      <c r="A2" t="s">
        <v>313</v>
      </c>
    </row>
    <row r="3" spans="1:12">
      <c r="D3" s="8"/>
    </row>
    <row r="4" spans="1:12">
      <c r="A4" s="2" t="s">
        <v>1</v>
      </c>
      <c r="B4" s="2" t="s">
        <v>2</v>
      </c>
      <c r="I4" t="s">
        <v>289</v>
      </c>
      <c r="J4">
        <v>126</v>
      </c>
    </row>
    <row r="5" spans="1:12">
      <c r="A5" t="s">
        <v>10</v>
      </c>
      <c r="B5">
        <v>736</v>
      </c>
      <c r="C5">
        <v>736</v>
      </c>
      <c r="D5">
        <v>736</v>
      </c>
      <c r="J5" s="26"/>
      <c r="K5" s="26"/>
      <c r="L5" s="26"/>
    </row>
    <row r="6" spans="1:12">
      <c r="A6" t="s">
        <v>11</v>
      </c>
      <c r="I6" s="28" t="s">
        <v>103</v>
      </c>
      <c r="J6" s="27" t="s">
        <v>202</v>
      </c>
      <c r="K6" s="26"/>
      <c r="L6" s="26"/>
    </row>
    <row r="7" spans="1:12">
      <c r="A7" t="s">
        <v>113</v>
      </c>
      <c r="I7" t="s">
        <v>104</v>
      </c>
      <c r="J7">
        <f>SUM(J9:J11)</f>
        <v>2.3759999999999999</v>
      </c>
      <c r="K7" s="26"/>
      <c r="L7" s="26"/>
    </row>
    <row r="8" spans="1:12">
      <c r="A8" t="s">
        <v>114</v>
      </c>
      <c r="D8" s="9"/>
      <c r="K8" s="26"/>
      <c r="L8" s="26"/>
    </row>
    <row r="9" spans="1:12">
      <c r="A9" t="s">
        <v>3</v>
      </c>
      <c r="I9" t="s">
        <v>183</v>
      </c>
      <c r="J9">
        <v>0.999</v>
      </c>
    </row>
    <row r="10" spans="1:12">
      <c r="A10" t="s">
        <v>4</v>
      </c>
      <c r="I10" t="s">
        <v>318</v>
      </c>
      <c r="J10">
        <v>0.49399999999999999</v>
      </c>
    </row>
    <row r="11" spans="1:12">
      <c r="A11" t="s">
        <v>5</v>
      </c>
      <c r="I11" t="s">
        <v>319</v>
      </c>
      <c r="J11">
        <v>0.88300000000000001</v>
      </c>
    </row>
    <row r="12" spans="1:12">
      <c r="A12" t="s">
        <v>6</v>
      </c>
    </row>
    <row r="13" spans="1:12">
      <c r="A13" t="s">
        <v>7</v>
      </c>
    </row>
    <row r="14" spans="1:12">
      <c r="A14" t="s">
        <v>8</v>
      </c>
      <c r="I14" t="s">
        <v>320</v>
      </c>
      <c r="J14" s="4">
        <v>5.0000000000000004E-6</v>
      </c>
      <c r="K14" t="s">
        <v>247</v>
      </c>
    </row>
    <row r="15" spans="1:12">
      <c r="A15" t="s">
        <v>9</v>
      </c>
    </row>
    <row r="17" spans="1:13">
      <c r="A17" t="s">
        <v>212</v>
      </c>
      <c r="I17" s="28" t="s">
        <v>321</v>
      </c>
      <c r="J17" s="27" t="s">
        <v>323</v>
      </c>
      <c r="K17" s="27" t="s">
        <v>202</v>
      </c>
    </row>
    <row r="18" spans="1:13">
      <c r="I18" t="s">
        <v>322</v>
      </c>
      <c r="J18">
        <v>3940000</v>
      </c>
      <c r="K18">
        <v>1.49</v>
      </c>
      <c r="L18">
        <f>SUM(J19:J49)-J45-J34</f>
        <v>4137960</v>
      </c>
      <c r="M18">
        <f>SUM(K19:K49)-K45-K34</f>
        <v>1.5557999999999998</v>
      </c>
    </row>
    <row r="19" spans="1:13">
      <c r="B19" t="s">
        <v>317</v>
      </c>
      <c r="C19" t="s">
        <v>216</v>
      </c>
      <c r="I19" t="s">
        <v>71</v>
      </c>
      <c r="J19">
        <v>37900</v>
      </c>
      <c r="K19">
        <v>1.4999999999999999E-2</v>
      </c>
    </row>
    <row r="20" spans="1:13">
      <c r="A20" t="s">
        <v>18</v>
      </c>
      <c r="B20" s="8"/>
      <c r="C20" s="8"/>
      <c r="D20" s="8"/>
      <c r="I20" t="s">
        <v>93</v>
      </c>
      <c r="J20">
        <v>7760</v>
      </c>
      <c r="K20">
        <v>2.8999999999999998E-3</v>
      </c>
    </row>
    <row r="21" spans="1:13">
      <c r="A21" t="s">
        <v>112</v>
      </c>
      <c r="I21" t="s">
        <v>73</v>
      </c>
    </row>
    <row r="22" spans="1:13">
      <c r="A22" t="s">
        <v>285</v>
      </c>
      <c r="I22" t="s">
        <v>74</v>
      </c>
      <c r="J22">
        <v>180000</v>
      </c>
      <c r="K22">
        <v>0.06</v>
      </c>
    </row>
    <row r="23" spans="1:13">
      <c r="A23" t="s">
        <v>213</v>
      </c>
      <c r="B23">
        <v>95</v>
      </c>
      <c r="C23">
        <v>79</v>
      </c>
      <c r="I23" t="s">
        <v>82</v>
      </c>
      <c r="J23">
        <v>25200</v>
      </c>
      <c r="K23">
        <v>5.1000000000000004E-3</v>
      </c>
    </row>
    <row r="24" spans="1:13">
      <c r="A24" t="s">
        <v>158</v>
      </c>
      <c r="I24" t="s">
        <v>83</v>
      </c>
    </row>
    <row r="25" spans="1:13">
      <c r="A25" t="s">
        <v>24</v>
      </c>
      <c r="I25" t="s">
        <v>84</v>
      </c>
    </row>
    <row r="26" spans="1:13">
      <c r="A26" t="s">
        <v>115</v>
      </c>
      <c r="I26" t="s">
        <v>85</v>
      </c>
      <c r="J26">
        <v>17300</v>
      </c>
      <c r="K26">
        <v>3.2000000000000002E-3</v>
      </c>
    </row>
    <row r="27" spans="1:13">
      <c r="B27" s="45" t="s">
        <v>14</v>
      </c>
      <c r="I27" t="s">
        <v>86</v>
      </c>
      <c r="J27">
        <v>26900</v>
      </c>
      <c r="K27">
        <v>5.0000000000000001E-3</v>
      </c>
    </row>
    <row r="28" spans="1:13">
      <c r="A28" t="s">
        <v>31</v>
      </c>
      <c r="B28">
        <v>99</v>
      </c>
      <c r="I28" t="s">
        <v>325</v>
      </c>
      <c r="J28">
        <v>15200</v>
      </c>
      <c r="K28">
        <v>2.8999999999999998E-3</v>
      </c>
    </row>
    <row r="29" spans="1:13">
      <c r="A29" t="s">
        <v>277</v>
      </c>
      <c r="B29">
        <f>D35*453.6*0.8495/44/(B51/1000000)</f>
        <v>8372.971458885726</v>
      </c>
      <c r="I29" t="s">
        <v>290</v>
      </c>
      <c r="J29">
        <v>48100</v>
      </c>
      <c r="K29">
        <v>0.02</v>
      </c>
    </row>
    <row r="30" spans="1:13">
      <c r="A30" t="s">
        <v>316</v>
      </c>
      <c r="B30">
        <f>B36*453.6*0.8495/16/(B52/1000000)</f>
        <v>8482.9006795540172</v>
      </c>
      <c r="I30" t="s">
        <v>94</v>
      </c>
      <c r="J30">
        <v>31700</v>
      </c>
      <c r="K30">
        <v>6.7000000000000002E-3</v>
      </c>
    </row>
    <row r="31" spans="1:13">
      <c r="B31">
        <f>B37*453.6*0.8495/30/(B53/1000000)</f>
        <v>7712.3112661730438</v>
      </c>
      <c r="I31" t="s">
        <v>324</v>
      </c>
      <c r="J31">
        <v>143000</v>
      </c>
      <c r="K31">
        <v>4.5400000000000003E-2</v>
      </c>
    </row>
    <row r="32" spans="1:13">
      <c r="A32" s="45" t="s">
        <v>511</v>
      </c>
      <c r="B32">
        <f>AVERAGE(714,948,547)*1000</f>
        <v>736333.33333333337</v>
      </c>
      <c r="I32" t="s">
        <v>95</v>
      </c>
    </row>
    <row r="33" spans="1:12">
      <c r="I33" t="s">
        <v>96</v>
      </c>
      <c r="J33">
        <v>44900</v>
      </c>
      <c r="K33">
        <v>1.77E-2</v>
      </c>
    </row>
    <row r="34" spans="1:12">
      <c r="A34" t="s">
        <v>140</v>
      </c>
      <c r="B34" t="s">
        <v>143</v>
      </c>
      <c r="I34" t="s">
        <v>72</v>
      </c>
      <c r="J34">
        <v>61900</v>
      </c>
      <c r="K34">
        <v>2.0299999999999999E-2</v>
      </c>
    </row>
    <row r="35" spans="1:12">
      <c r="A35" t="s">
        <v>314</v>
      </c>
      <c r="B35">
        <v>377</v>
      </c>
      <c r="D35" s="31">
        <f>SUM(B36:B38)</f>
        <v>417.80852314686285</v>
      </c>
      <c r="E35" t="s">
        <v>362</v>
      </c>
      <c r="I35" t="s">
        <v>75</v>
      </c>
      <c r="J35">
        <v>30100</v>
      </c>
      <c r="K35">
        <v>7.3000000000000001E-3</v>
      </c>
    </row>
    <row r="36" spans="1:12">
      <c r="A36" t="s">
        <v>145</v>
      </c>
      <c r="B36">
        <v>321</v>
      </c>
      <c r="I36" t="s">
        <v>76</v>
      </c>
      <c r="J36">
        <v>137000</v>
      </c>
      <c r="K36">
        <v>4.9599999999999998E-2</v>
      </c>
    </row>
    <row r="37" spans="1:12">
      <c r="A37" t="s">
        <v>146</v>
      </c>
      <c r="B37">
        <v>54.9</v>
      </c>
      <c r="I37" t="s">
        <v>77</v>
      </c>
      <c r="J37">
        <v>5000</v>
      </c>
      <c r="K37">
        <v>8.9999999999999998E-4</v>
      </c>
    </row>
    <row r="38" spans="1:12">
      <c r="A38" t="s">
        <v>315</v>
      </c>
      <c r="B38" s="15">
        <f>B54/1000000*B30*44/0.8495/453.6</f>
        <v>41.908523146862905</v>
      </c>
      <c r="I38" t="s">
        <v>102</v>
      </c>
    </row>
    <row r="39" spans="1:12">
      <c r="A39" t="s">
        <v>216</v>
      </c>
      <c r="C39" s="15">
        <v>7.14</v>
      </c>
      <c r="I39" t="s">
        <v>78</v>
      </c>
      <c r="J39">
        <v>1820000</v>
      </c>
      <c r="K39">
        <v>0.72699999999999998</v>
      </c>
    </row>
    <row r="40" spans="1:12">
      <c r="B40" s="15"/>
      <c r="I40" t="s">
        <v>79</v>
      </c>
    </row>
    <row r="41" spans="1:12">
      <c r="I41" t="s">
        <v>56</v>
      </c>
      <c r="J41">
        <v>987000</v>
      </c>
      <c r="K41">
        <v>0.40699999999999997</v>
      </c>
      <c r="L41">
        <f>K$39/J$39*J41</f>
        <v>0.39425769230769231</v>
      </c>
    </row>
    <row r="42" spans="1:12">
      <c r="A42" t="s">
        <v>140</v>
      </c>
      <c r="B42" t="s">
        <v>239</v>
      </c>
      <c r="I42" t="s">
        <v>80</v>
      </c>
    </row>
    <row r="43" spans="1:12">
      <c r="A43" t="s">
        <v>314</v>
      </c>
      <c r="B43" s="37"/>
      <c r="C43" s="37"/>
      <c r="I43" t="s">
        <v>81</v>
      </c>
    </row>
    <row r="44" spans="1:12">
      <c r="A44" t="s">
        <v>145</v>
      </c>
      <c r="B44" s="37"/>
      <c r="C44" s="37"/>
      <c r="I44" t="s">
        <v>87</v>
      </c>
      <c r="J44">
        <v>447000</v>
      </c>
      <c r="K44">
        <v>0.14599999999999999</v>
      </c>
    </row>
    <row r="45" spans="1:12">
      <c r="A45" t="s">
        <v>146</v>
      </c>
      <c r="B45" s="37"/>
      <c r="C45" s="37"/>
      <c r="I45" t="s">
        <v>88</v>
      </c>
      <c r="J45">
        <v>56500</v>
      </c>
      <c r="K45">
        <v>1.7899999999999999E-2</v>
      </c>
    </row>
    <row r="46" spans="1:12">
      <c r="A46" t="s">
        <v>315</v>
      </c>
      <c r="B46" s="37"/>
      <c r="C46" s="37"/>
      <c r="I46" t="s">
        <v>89</v>
      </c>
    </row>
    <row r="47" spans="1:12">
      <c r="I47" t="s">
        <v>90</v>
      </c>
      <c r="J47">
        <v>114000</v>
      </c>
      <c r="K47">
        <v>2.7400000000000001E-2</v>
      </c>
    </row>
    <row r="48" spans="1:12">
      <c r="I48" t="s">
        <v>91</v>
      </c>
    </row>
    <row r="49" spans="1:11">
      <c r="I49" t="s">
        <v>326</v>
      </c>
      <c r="J49">
        <v>19900</v>
      </c>
      <c r="K49">
        <v>6.7000000000000002E-3</v>
      </c>
    </row>
    <row r="50" spans="1:11">
      <c r="A50" t="s">
        <v>140</v>
      </c>
      <c r="B50" t="s">
        <v>215</v>
      </c>
    </row>
    <row r="51" spans="1:11">
      <c r="A51" t="s">
        <v>314</v>
      </c>
      <c r="B51" s="15">
        <v>437000</v>
      </c>
      <c r="C51" s="15"/>
      <c r="D51" s="15"/>
      <c r="I51" s="45" t="s">
        <v>175</v>
      </c>
      <c r="K51">
        <f>SUM(K18:K49)</f>
        <v>3.0840000000000001</v>
      </c>
    </row>
    <row r="52" spans="1:11">
      <c r="A52" t="s">
        <v>145</v>
      </c>
      <c r="B52" s="15">
        <v>911333</v>
      </c>
      <c r="C52" s="15"/>
      <c r="D52" s="15"/>
    </row>
    <row r="53" spans="1:11">
      <c r="A53" t="s">
        <v>146</v>
      </c>
      <c r="B53" s="15">
        <v>91433</v>
      </c>
      <c r="C53" s="15"/>
      <c r="D53" s="15"/>
    </row>
    <row r="54" spans="1:11">
      <c r="A54" t="s">
        <v>315</v>
      </c>
      <c r="B54">
        <f>B51-B52*16/44-B53*30/44</f>
        <v>43265.500000000007</v>
      </c>
      <c r="C54" t="s">
        <v>363</v>
      </c>
      <c r="I54" s="28" t="s">
        <v>327</v>
      </c>
      <c r="J54" s="27" t="s">
        <v>202</v>
      </c>
    </row>
    <row r="55" spans="1:11">
      <c r="A55" t="s">
        <v>216</v>
      </c>
      <c r="C55" s="15">
        <v>54800</v>
      </c>
      <c r="I55" t="s">
        <v>293</v>
      </c>
      <c r="J55" s="4">
        <v>2.2000000000000001E-6</v>
      </c>
      <c r="K55" t="s">
        <v>328</v>
      </c>
    </row>
    <row r="56" spans="1:11">
      <c r="I56" t="s">
        <v>294</v>
      </c>
      <c r="J56" s="4">
        <v>5.2000000000000002E-6</v>
      </c>
      <c r="K56" t="s">
        <v>328</v>
      </c>
    </row>
    <row r="57" spans="1:11">
      <c r="A57" s="3" t="s">
        <v>497</v>
      </c>
      <c r="I57" t="s">
        <v>295</v>
      </c>
      <c r="J57" s="4">
        <v>2.9999999999999999E-7</v>
      </c>
      <c r="K57" t="s">
        <v>328</v>
      </c>
    </row>
    <row r="58" spans="1:11">
      <c r="B58" s="2" t="s">
        <v>14</v>
      </c>
      <c r="I58" t="s">
        <v>296</v>
      </c>
      <c r="J58" s="4">
        <v>1.1000000000000001E-6</v>
      </c>
      <c r="K58" t="s">
        <v>328</v>
      </c>
    </row>
    <row r="59" spans="1:11">
      <c r="A59" s="45" t="s">
        <v>494</v>
      </c>
      <c r="B59" s="45">
        <f>B32*B28/100</f>
        <v>728970</v>
      </c>
      <c r="I59" t="s">
        <v>297</v>
      </c>
      <c r="J59" s="4">
        <v>3.4E-5</v>
      </c>
      <c r="K59" t="s">
        <v>328</v>
      </c>
    </row>
    <row r="60" spans="1:11">
      <c r="A60" s="45" t="s">
        <v>495</v>
      </c>
      <c r="B60">
        <f>B59/849.5*18*2.2046</f>
        <v>34052.466999411423</v>
      </c>
      <c r="I60" t="s">
        <v>302</v>
      </c>
      <c r="J60" s="4">
        <v>4.4000000000000002E-6</v>
      </c>
      <c r="K60" t="s">
        <v>328</v>
      </c>
    </row>
    <row r="61" spans="1:11">
      <c r="A61" s="45" t="s">
        <v>496</v>
      </c>
      <c r="I61" t="s">
        <v>298</v>
      </c>
      <c r="J61" s="4">
        <v>1.35E-4</v>
      </c>
    </row>
    <row r="62" spans="1:11">
      <c r="A62" s="91" t="s">
        <v>145</v>
      </c>
      <c r="B62">
        <f>B36/B60</f>
        <v>9.4266297947090977E-3</v>
      </c>
      <c r="I62" t="s">
        <v>299</v>
      </c>
      <c r="J62" s="4">
        <v>9.6899999999999997E-5</v>
      </c>
    </row>
    <row r="63" spans="1:11">
      <c r="A63" s="91" t="s">
        <v>146</v>
      </c>
      <c r="B63">
        <f>B37/B60</f>
        <v>1.6122179929268828E-3</v>
      </c>
      <c r="I63" t="s">
        <v>300</v>
      </c>
      <c r="J63" s="4">
        <v>1.7799999999999999E-4</v>
      </c>
    </row>
    <row r="64" spans="1:11">
      <c r="A64" s="91" t="s">
        <v>193</v>
      </c>
      <c r="B64">
        <f>B38/B60</f>
        <v>1.2307044640139369E-3</v>
      </c>
      <c r="I64" t="s">
        <v>301</v>
      </c>
      <c r="J64" s="4">
        <v>4.8999999999999998E-5</v>
      </c>
      <c r="K64" t="s">
        <v>328</v>
      </c>
    </row>
    <row r="65" spans="1:4">
      <c r="A65" s="91" t="s">
        <v>52</v>
      </c>
      <c r="B65" s="45" t="s">
        <v>407</v>
      </c>
    </row>
    <row r="66" spans="1:4">
      <c r="A66" s="91" t="s">
        <v>54</v>
      </c>
      <c r="B66" s="45" t="s">
        <v>407</v>
      </c>
    </row>
    <row r="67" spans="1:4">
      <c r="A67" s="92" t="s">
        <v>339</v>
      </c>
      <c r="B67" s="45" t="s">
        <v>407</v>
      </c>
      <c r="C67" s="15"/>
      <c r="D67" s="15"/>
    </row>
    <row r="68" spans="1:4">
      <c r="A68" s="91" t="s">
        <v>167</v>
      </c>
      <c r="B68" s="45" t="s">
        <v>407</v>
      </c>
      <c r="C68" s="15"/>
      <c r="D68" s="15"/>
    </row>
    <row r="69" spans="1:4">
      <c r="A69" s="91" t="s">
        <v>168</v>
      </c>
      <c r="B69" s="13"/>
      <c r="C69" s="15"/>
      <c r="D69" s="15"/>
    </row>
    <row r="70" spans="1:4">
      <c r="A70" s="93" t="s">
        <v>78</v>
      </c>
      <c r="B70" s="96">
        <f>K39/B60</f>
        <v>2.1349407665898795E-5</v>
      </c>
      <c r="C70" s="14"/>
      <c r="D70" s="14"/>
    </row>
    <row r="71" spans="1:4">
      <c r="A71" s="93" t="s">
        <v>56</v>
      </c>
      <c r="B71" s="96">
        <f>K41/B60</f>
        <v>1.1952144319148293E-5</v>
      </c>
      <c r="C71" s="14"/>
      <c r="D71" s="14"/>
    </row>
    <row r="72" spans="1:4">
      <c r="A72" s="93" t="s">
        <v>87</v>
      </c>
      <c r="B72" s="96">
        <f>K44/B60</f>
        <v>4.2875014019549165E-6</v>
      </c>
      <c r="C72" s="13">
        <f>B72/B$70</f>
        <v>0.20082530949105915</v>
      </c>
      <c r="D72" s="15"/>
    </row>
    <row r="73" spans="1:4">
      <c r="A73" s="93" t="s">
        <v>74</v>
      </c>
      <c r="B73" s="96">
        <f>K22/B60</f>
        <v>1.7619868775157189E-6</v>
      </c>
      <c r="C73" s="13">
        <f t="shared" ref="C73:C74" si="0">B73/B$70</f>
        <v>8.2530949105914714E-2</v>
      </c>
      <c r="D73" s="15"/>
    </row>
    <row r="74" spans="1:4">
      <c r="A74" s="94" t="s">
        <v>76</v>
      </c>
      <c r="B74" s="96">
        <f>K36/B60</f>
        <v>1.4565758187463276E-6</v>
      </c>
      <c r="C74" s="13">
        <f t="shared" si="0"/>
        <v>6.822558459422283E-2</v>
      </c>
    </row>
    <row r="75" spans="1:4">
      <c r="A75" s="93" t="s">
        <v>179</v>
      </c>
      <c r="B75" s="96"/>
    </row>
    <row r="76" spans="1:4">
      <c r="A76" s="93"/>
      <c r="B76" s="95"/>
    </row>
    <row r="77" spans="1:4">
      <c r="A77" s="93" t="s">
        <v>88</v>
      </c>
      <c r="B77" s="96">
        <f>K45/B60</f>
        <v>5.2565941845885613E-7</v>
      </c>
      <c r="C77" s="13">
        <f t="shared" ref="C77" si="1">B77/B$70</f>
        <v>2.4621733149931223E-2</v>
      </c>
    </row>
    <row r="78" spans="1:4">
      <c r="A78" s="93" t="s">
        <v>189</v>
      </c>
      <c r="B78" s="45" t="s">
        <v>407</v>
      </c>
    </row>
    <row r="79" spans="1:4">
      <c r="A79" s="93"/>
      <c r="B79" s="95"/>
    </row>
    <row r="80" spans="1:4">
      <c r="A80" s="93" t="s">
        <v>184</v>
      </c>
      <c r="B80" s="95">
        <f>J7/B60</f>
        <v>6.9774680349622478E-5</v>
      </c>
    </row>
    <row r="81" spans="1:2">
      <c r="A81" s="93" t="s">
        <v>183</v>
      </c>
      <c r="B81" s="95">
        <f>J9/B60</f>
        <v>2.9337081510636721E-5</v>
      </c>
    </row>
    <row r="82" spans="1:2">
      <c r="A82" s="94" t="s">
        <v>142</v>
      </c>
      <c r="B82" s="95">
        <f>SUM(J10:J11)/B60</f>
        <v>4.043759883898575E-5</v>
      </c>
    </row>
  </sheetData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topLeftCell="A76" workbookViewId="0">
      <selection activeCell="G99" sqref="G99:G101"/>
    </sheetView>
  </sheetViews>
  <sheetFormatPr defaultRowHeight="12.75"/>
  <cols>
    <col min="1" max="1" width="35.5703125" customWidth="1"/>
    <col min="2" max="2" width="12.42578125" bestFit="1" customWidth="1"/>
    <col min="3" max="3" width="11.42578125" customWidth="1"/>
    <col min="4" max="4" width="10.7109375" customWidth="1"/>
    <col min="10" max="10" width="24.85546875" customWidth="1"/>
  </cols>
  <sheetData>
    <row r="1" spans="1:17" ht="15.75">
      <c r="A1" t="s">
        <v>329</v>
      </c>
      <c r="C1" s="5"/>
      <c r="J1" t="s">
        <v>18</v>
      </c>
      <c r="K1" s="1">
        <v>40738</v>
      </c>
      <c r="L1" s="1">
        <v>40740</v>
      </c>
      <c r="M1" s="1">
        <v>40741</v>
      </c>
    </row>
    <row r="2" spans="1:17">
      <c r="A2" t="s">
        <v>330</v>
      </c>
      <c r="J2" t="s">
        <v>289</v>
      </c>
      <c r="K2">
        <v>20</v>
      </c>
      <c r="L2">
        <v>60</v>
      </c>
      <c r="M2">
        <v>40</v>
      </c>
    </row>
    <row r="3" spans="1:17">
      <c r="D3" s="8"/>
    </row>
    <row r="4" spans="1:17">
      <c r="A4" s="2" t="s">
        <v>1</v>
      </c>
      <c r="B4" s="2" t="s">
        <v>2</v>
      </c>
      <c r="J4" s="3" t="s">
        <v>397</v>
      </c>
      <c r="K4" s="128" t="s">
        <v>70</v>
      </c>
      <c r="L4" s="128"/>
      <c r="M4" s="128"/>
    </row>
    <row r="5" spans="1:17">
      <c r="A5" t="s">
        <v>10</v>
      </c>
      <c r="J5" s="2" t="s">
        <v>69</v>
      </c>
      <c r="K5" s="2" t="s">
        <v>14</v>
      </c>
      <c r="L5" s="2" t="s">
        <v>15</v>
      </c>
      <c r="M5" s="2" t="s">
        <v>16</v>
      </c>
      <c r="O5" t="s">
        <v>186</v>
      </c>
      <c r="Q5" s="45" t="s">
        <v>493</v>
      </c>
    </row>
    <row r="6" spans="1:17">
      <c r="A6" t="s">
        <v>11</v>
      </c>
      <c r="B6" t="s">
        <v>331</v>
      </c>
      <c r="C6" t="s">
        <v>331</v>
      </c>
      <c r="D6" t="s">
        <v>331</v>
      </c>
      <c r="J6" t="s">
        <v>71</v>
      </c>
      <c r="K6" s="4">
        <v>8.3000000000000001E-3</v>
      </c>
      <c r="L6" s="4">
        <v>2.2799999999999999E-3</v>
      </c>
      <c r="M6" s="4">
        <v>3.8600000000000001E-3</v>
      </c>
      <c r="O6">
        <f>AVERAGE(K6:M6)</f>
        <v>4.8133333333333335E-3</v>
      </c>
    </row>
    <row r="7" spans="1:17">
      <c r="A7" t="s">
        <v>113</v>
      </c>
      <c r="J7" t="s">
        <v>93</v>
      </c>
      <c r="K7" s="4"/>
      <c r="L7" s="4"/>
      <c r="M7" s="4"/>
    </row>
    <row r="8" spans="1:17">
      <c r="A8" t="s">
        <v>114</v>
      </c>
      <c r="D8" s="9"/>
      <c r="J8" t="s">
        <v>73</v>
      </c>
      <c r="K8" s="4"/>
      <c r="L8" s="4"/>
      <c r="M8" s="4"/>
    </row>
    <row r="9" spans="1:17">
      <c r="A9" t="s">
        <v>3</v>
      </c>
      <c r="J9" t="s">
        <v>74</v>
      </c>
      <c r="K9" s="4">
        <v>1.35E-2</v>
      </c>
      <c r="L9" s="4">
        <v>2.7200000000000002E-3</v>
      </c>
      <c r="M9" s="4">
        <v>1.11E-2</v>
      </c>
      <c r="O9">
        <f>AVERAGE(K9:M9)</f>
        <v>9.1066666666666657E-3</v>
      </c>
    </row>
    <row r="10" spans="1:17">
      <c r="A10" t="s">
        <v>4</v>
      </c>
      <c r="J10" t="s">
        <v>82</v>
      </c>
      <c r="K10" s="4"/>
      <c r="L10" s="4"/>
      <c r="M10" s="4"/>
    </row>
    <row r="11" spans="1:17">
      <c r="A11" t="s">
        <v>5</v>
      </c>
      <c r="J11" t="s">
        <v>83</v>
      </c>
      <c r="K11" s="4"/>
      <c r="L11" s="4"/>
      <c r="M11" s="4"/>
    </row>
    <row r="12" spans="1:17">
      <c r="A12" t="s">
        <v>6</v>
      </c>
      <c r="J12" t="s">
        <v>84</v>
      </c>
      <c r="K12" s="4"/>
      <c r="L12" s="4"/>
      <c r="M12" s="4"/>
    </row>
    <row r="13" spans="1:17">
      <c r="A13" t="s">
        <v>7</v>
      </c>
      <c r="J13" t="s">
        <v>85</v>
      </c>
      <c r="K13" s="4"/>
      <c r="L13" s="4"/>
      <c r="M13" s="4"/>
    </row>
    <row r="14" spans="1:17">
      <c r="A14" t="s">
        <v>8</v>
      </c>
      <c r="J14" t="s">
        <v>86</v>
      </c>
      <c r="K14" s="4">
        <v>4.3E-3</v>
      </c>
      <c r="L14" s="4">
        <v>1.9499999999999999E-3</v>
      </c>
      <c r="M14" s="4" t="s">
        <v>350</v>
      </c>
      <c r="O14" s="37">
        <f>AVERAGE(K14:M14)</f>
        <v>3.1250000000000002E-3</v>
      </c>
    </row>
    <row r="15" spans="1:17">
      <c r="A15" t="s">
        <v>9</v>
      </c>
      <c r="J15" t="s">
        <v>325</v>
      </c>
      <c r="K15" s="4">
        <v>1E-3</v>
      </c>
      <c r="L15" s="4">
        <v>1.01E-3</v>
      </c>
      <c r="M15" s="4" t="s">
        <v>350</v>
      </c>
      <c r="O15" s="10">
        <f>AVERAGE(K15:M15)</f>
        <v>1.005E-3</v>
      </c>
    </row>
    <row r="16" spans="1:17">
      <c r="J16" t="s">
        <v>290</v>
      </c>
      <c r="K16" s="4">
        <v>4.7000000000000002E-3</v>
      </c>
      <c r="L16" s="4">
        <v>1.5399999999999999E-3</v>
      </c>
      <c r="M16" s="4">
        <v>3.3899999999999998E-3</v>
      </c>
      <c r="O16">
        <f>AVERAGE(K16:M16)</f>
        <v>3.2099999999999997E-3</v>
      </c>
    </row>
    <row r="17" spans="1:15">
      <c r="A17" t="s">
        <v>212</v>
      </c>
      <c r="J17" t="s">
        <v>94</v>
      </c>
      <c r="K17" s="4" t="s">
        <v>351</v>
      </c>
      <c r="L17" s="4">
        <v>1.5100000000000001E-3</v>
      </c>
      <c r="M17" s="4" t="s">
        <v>350</v>
      </c>
      <c r="O17" s="10">
        <f>AVERAGE(K17:M17)</f>
        <v>1.5100000000000001E-3</v>
      </c>
    </row>
    <row r="18" spans="1:15">
      <c r="J18" t="s">
        <v>324</v>
      </c>
      <c r="K18" s="4"/>
      <c r="L18" s="4"/>
      <c r="M18" s="4"/>
    </row>
    <row r="19" spans="1:15">
      <c r="B19" t="s">
        <v>14</v>
      </c>
      <c r="C19" t="s">
        <v>15</v>
      </c>
      <c r="D19" t="s">
        <v>16</v>
      </c>
      <c r="J19" t="s">
        <v>95</v>
      </c>
      <c r="K19" s="4"/>
      <c r="L19" s="4"/>
      <c r="M19" s="4"/>
    </row>
    <row r="20" spans="1:15">
      <c r="A20" t="s">
        <v>18</v>
      </c>
      <c r="B20" s="8">
        <v>40738</v>
      </c>
      <c r="C20" s="8">
        <v>40740</v>
      </c>
      <c r="D20" s="8">
        <v>40741</v>
      </c>
      <c r="J20" t="s">
        <v>96</v>
      </c>
      <c r="K20" s="4">
        <v>3.3999999999999998E-3</v>
      </c>
      <c r="L20" s="4">
        <v>9.0600000000000001E-4</v>
      </c>
      <c r="M20" s="4">
        <v>2.7000000000000001E-3</v>
      </c>
      <c r="O20">
        <f>AVERAGE(K20:M20)</f>
        <v>2.3353333333333334E-3</v>
      </c>
    </row>
    <row r="21" spans="1:15">
      <c r="A21" t="s">
        <v>112</v>
      </c>
      <c r="J21" t="s">
        <v>72</v>
      </c>
      <c r="K21" s="4"/>
      <c r="L21" s="4"/>
      <c r="M21" s="4"/>
    </row>
    <row r="22" spans="1:15">
      <c r="A22" t="s">
        <v>285</v>
      </c>
      <c r="J22" t="s">
        <v>75</v>
      </c>
      <c r="K22" s="4"/>
      <c r="L22" s="4"/>
      <c r="M22" s="4"/>
    </row>
    <row r="23" spans="1:15">
      <c r="A23" t="s">
        <v>213</v>
      </c>
      <c r="B23">
        <v>20</v>
      </c>
      <c r="C23">
        <v>60</v>
      </c>
      <c r="D23">
        <v>40</v>
      </c>
      <c r="J23" t="s">
        <v>76</v>
      </c>
      <c r="K23" s="4">
        <v>1.72E-2</v>
      </c>
      <c r="L23" s="4">
        <v>4.0299999999999997E-3</v>
      </c>
      <c r="M23" s="4">
        <v>1.3220000000000001E-2</v>
      </c>
      <c r="O23">
        <f>AVERAGE(K23:M23)</f>
        <v>1.1483333333333333E-2</v>
      </c>
    </row>
    <row r="24" spans="1:15">
      <c r="A24" t="s">
        <v>158</v>
      </c>
      <c r="J24" t="s">
        <v>77</v>
      </c>
      <c r="K24" s="4"/>
      <c r="L24" s="4"/>
      <c r="M24" s="4"/>
    </row>
    <row r="25" spans="1:15">
      <c r="A25" t="s">
        <v>24</v>
      </c>
      <c r="J25" t="s">
        <v>102</v>
      </c>
      <c r="K25" s="4"/>
      <c r="L25" s="4"/>
      <c r="M25" s="4"/>
    </row>
    <row r="26" spans="1:15">
      <c r="A26" t="s">
        <v>115</v>
      </c>
      <c r="J26" t="s">
        <v>78</v>
      </c>
      <c r="K26" s="4">
        <v>0.31609999999999999</v>
      </c>
      <c r="L26" s="4">
        <v>0.104</v>
      </c>
      <c r="M26" s="4">
        <v>0.19570000000000001</v>
      </c>
      <c r="O26">
        <f>AVERAGE(K26:M26)</f>
        <v>0.20526666666666668</v>
      </c>
    </row>
    <row r="27" spans="1:15">
      <c r="F27" t="s">
        <v>186</v>
      </c>
      <c r="J27" t="s">
        <v>79</v>
      </c>
      <c r="K27" s="4"/>
      <c r="L27" s="4"/>
      <c r="M27" s="4"/>
    </row>
    <row r="28" spans="1:15">
      <c r="A28" t="s">
        <v>31</v>
      </c>
      <c r="B28">
        <v>97.7</v>
      </c>
      <c r="C28">
        <v>97.6</v>
      </c>
      <c r="D28">
        <v>98.4</v>
      </c>
      <c r="F28" s="14">
        <f>AVERAGE(B28:D28)</f>
        <v>97.90000000000002</v>
      </c>
      <c r="J28" t="s">
        <v>56</v>
      </c>
      <c r="K28" s="4">
        <v>0.18679999999999999</v>
      </c>
      <c r="L28" s="4">
        <v>5.04E-2</v>
      </c>
      <c r="M28" s="4">
        <v>0.10580000000000001</v>
      </c>
      <c r="O28">
        <f>AVERAGE(K28:M28)</f>
        <v>0.11433333333333333</v>
      </c>
    </row>
    <row r="29" spans="1:15">
      <c r="A29" s="45" t="s">
        <v>507</v>
      </c>
      <c r="B29">
        <f>B31/(1-B28/100)</f>
        <v>13507.971014492741</v>
      </c>
      <c r="C29">
        <f t="shared" ref="C29:D29" si="0">C31/(1-C28/100)</f>
        <v>3824.9999999999964</v>
      </c>
      <c r="D29">
        <f t="shared" si="0"/>
        <v>4079.1666666666911</v>
      </c>
      <c r="J29" t="s">
        <v>80</v>
      </c>
      <c r="K29" s="4"/>
      <c r="L29" s="4"/>
      <c r="M29" s="4"/>
    </row>
    <row r="30" spans="1:15">
      <c r="A30" t="s">
        <v>390</v>
      </c>
      <c r="B30">
        <v>18641</v>
      </c>
      <c r="C30">
        <v>5508</v>
      </c>
      <c r="D30">
        <v>3916</v>
      </c>
      <c r="J30" t="s">
        <v>81</v>
      </c>
      <c r="K30" s="4"/>
      <c r="L30" s="4"/>
      <c r="M30" s="4"/>
    </row>
    <row r="31" spans="1:15">
      <c r="A31" t="s">
        <v>278</v>
      </c>
      <c r="B31" s="14">
        <f>B30/60</f>
        <v>310.68333333333334</v>
      </c>
      <c r="C31" s="14">
        <f t="shared" ref="C31:D31" si="1">C30/60</f>
        <v>91.8</v>
      </c>
      <c r="D31" s="14">
        <f t="shared" si="1"/>
        <v>65.266666666666666</v>
      </c>
      <c r="J31" t="s">
        <v>87</v>
      </c>
      <c r="K31" s="4"/>
      <c r="L31" s="4"/>
      <c r="M31" s="4"/>
    </row>
    <row r="32" spans="1:15">
      <c r="A32" s="45" t="s">
        <v>508</v>
      </c>
      <c r="B32" s="14">
        <f>B29-B31</f>
        <v>13197.287681159409</v>
      </c>
      <c r="C32" s="14">
        <f t="shared" ref="C32:D32" si="2">C29-C31</f>
        <v>3733.1999999999962</v>
      </c>
      <c r="D32" s="14">
        <f t="shared" si="2"/>
        <v>4013.9000000000242</v>
      </c>
      <c r="J32" t="s">
        <v>88</v>
      </c>
      <c r="K32" s="4"/>
      <c r="L32" s="4"/>
      <c r="M32" s="4"/>
    </row>
    <row r="33" spans="1:15">
      <c r="J33" t="s">
        <v>89</v>
      </c>
      <c r="K33" s="4"/>
      <c r="L33" s="4"/>
      <c r="M33" s="4"/>
    </row>
    <row r="34" spans="1:15">
      <c r="A34" t="s">
        <v>140</v>
      </c>
      <c r="B34" t="s">
        <v>143</v>
      </c>
      <c r="F34" t="s">
        <v>186</v>
      </c>
      <c r="J34" t="s">
        <v>90</v>
      </c>
      <c r="K34" s="4">
        <v>5.3E-3</v>
      </c>
      <c r="L34" s="4">
        <v>1.81E-3</v>
      </c>
      <c r="M34" s="4">
        <v>5.0800000000000003E-3</v>
      </c>
      <c r="O34">
        <f>AVERAGE(K34:M34)</f>
        <v>4.0633333333333329E-3</v>
      </c>
    </row>
    <row r="35" spans="1:15">
      <c r="A35" t="s">
        <v>312</v>
      </c>
      <c r="B35">
        <v>9.5</v>
      </c>
      <c r="C35">
        <v>61.7</v>
      </c>
      <c r="D35">
        <v>2.79</v>
      </c>
      <c r="F35" s="14">
        <f>AVERAGE(B35:D35)</f>
        <v>24.663333333333338</v>
      </c>
      <c r="J35" t="s">
        <v>91</v>
      </c>
      <c r="K35" s="4"/>
      <c r="L35" s="4"/>
      <c r="M35" s="4"/>
    </row>
    <row r="36" spans="1:15">
      <c r="A36" t="s">
        <v>145</v>
      </c>
      <c r="B36">
        <v>62.3</v>
      </c>
      <c r="C36">
        <v>111</v>
      </c>
      <c r="D36">
        <v>52.6</v>
      </c>
      <c r="F36" s="14">
        <f t="shared" ref="F36:F37" si="3">AVERAGE(B36:D36)</f>
        <v>75.3</v>
      </c>
      <c r="J36" t="s">
        <v>326</v>
      </c>
      <c r="K36" s="4"/>
      <c r="L36" s="4"/>
      <c r="M36" s="4"/>
    </row>
    <row r="37" spans="1:15">
      <c r="A37" t="s">
        <v>146</v>
      </c>
      <c r="B37">
        <v>19</v>
      </c>
      <c r="C37">
        <v>32.799999999999997</v>
      </c>
      <c r="D37">
        <v>12.5</v>
      </c>
      <c r="F37" s="14">
        <f t="shared" si="3"/>
        <v>21.433333333333334</v>
      </c>
      <c r="K37" s="4"/>
      <c r="L37" s="4"/>
      <c r="M37" s="4"/>
    </row>
    <row r="38" spans="1:15">
      <c r="B38" t="s">
        <v>336</v>
      </c>
      <c r="K38" s="4"/>
      <c r="M38" s="4"/>
    </row>
    <row r="39" spans="1:15">
      <c r="A39" t="s">
        <v>52</v>
      </c>
      <c r="B39">
        <v>0.33200000000000002</v>
      </c>
      <c r="C39">
        <v>0.435</v>
      </c>
      <c r="D39">
        <v>0.255</v>
      </c>
      <c r="F39">
        <f>AVERAGE(B39:D39)</f>
        <v>0.34066666666666667</v>
      </c>
    </row>
    <row r="40" spans="1:15">
      <c r="A40" t="s">
        <v>332</v>
      </c>
      <c r="B40">
        <v>0.129</v>
      </c>
      <c r="C40">
        <v>0.2</v>
      </c>
      <c r="D40">
        <v>2.8199999999999999E-2</v>
      </c>
      <c r="F40">
        <f>AVERAGE(B40:D40)</f>
        <v>0.11906666666666667</v>
      </c>
      <c r="J40" t="s">
        <v>175</v>
      </c>
      <c r="K40" s="4">
        <f>SUM(K6:K38)</f>
        <v>0.56059999999999999</v>
      </c>
      <c r="L40" s="4">
        <f>SUM(L6:L38)</f>
        <v>0.172156</v>
      </c>
      <c r="M40" s="4">
        <f>SUM(M6:M38)</f>
        <v>0.34084999999999999</v>
      </c>
      <c r="O40">
        <f>AVERAGE(K40:M40)</f>
        <v>0.35786866666666661</v>
      </c>
    </row>
    <row r="41" spans="1:15">
      <c r="A41" t="s">
        <v>333</v>
      </c>
      <c r="B41">
        <v>0.28499999999999998</v>
      </c>
      <c r="C41">
        <v>0.49</v>
      </c>
      <c r="D41">
        <v>0.1</v>
      </c>
      <c r="F41">
        <f t="shared" ref="F41:F57" si="4">AVERAGE(B41:D41)</f>
        <v>0.29166666666666663</v>
      </c>
      <c r="K41" s="4"/>
      <c r="L41" s="4"/>
      <c r="M41" s="4"/>
    </row>
    <row r="42" spans="1:15">
      <c r="A42" t="s">
        <v>54</v>
      </c>
      <c r="B42">
        <v>1.34</v>
      </c>
      <c r="C42">
        <v>1.65</v>
      </c>
      <c r="D42">
        <v>0.91</v>
      </c>
      <c r="F42">
        <f t="shared" si="4"/>
        <v>1.3</v>
      </c>
      <c r="K42" s="4"/>
      <c r="L42" s="4"/>
      <c r="M42" s="4"/>
    </row>
    <row r="43" spans="1:15">
      <c r="A43" t="s">
        <v>216</v>
      </c>
      <c r="B43">
        <v>0.30299999999999999</v>
      </c>
      <c r="C43">
        <v>9.6</v>
      </c>
      <c r="D43">
        <v>1.26</v>
      </c>
      <c r="F43">
        <f t="shared" si="4"/>
        <v>3.7210000000000001</v>
      </c>
      <c r="J43" t="s">
        <v>18</v>
      </c>
      <c r="K43" s="1">
        <v>40738</v>
      </c>
      <c r="L43" s="1">
        <v>40740</v>
      </c>
      <c r="M43" s="1">
        <v>40741</v>
      </c>
    </row>
    <row r="44" spans="1:15">
      <c r="A44" t="s">
        <v>334</v>
      </c>
      <c r="B44">
        <v>1.9E-3</v>
      </c>
      <c r="C44">
        <v>7.4000000000000003E-3</v>
      </c>
      <c r="D44">
        <v>4.8300000000000001E-3</v>
      </c>
      <c r="F44">
        <f t="shared" si="4"/>
        <v>4.7099999999999998E-3</v>
      </c>
      <c r="J44" t="s">
        <v>289</v>
      </c>
      <c r="K44">
        <v>20</v>
      </c>
      <c r="L44">
        <v>60</v>
      </c>
      <c r="M44">
        <v>40</v>
      </c>
    </row>
    <row r="45" spans="1:15">
      <c r="A45" t="s">
        <v>335</v>
      </c>
      <c r="B45">
        <v>0.73599999999999999</v>
      </c>
      <c r="C45">
        <v>0.66700000000000004</v>
      </c>
      <c r="D45">
        <v>9.6100000000000005E-2</v>
      </c>
      <c r="F45">
        <f t="shared" si="4"/>
        <v>0.49970000000000003</v>
      </c>
      <c r="K45" s="128" t="s">
        <v>70</v>
      </c>
      <c r="L45" s="128"/>
      <c r="M45" s="128"/>
    </row>
    <row r="46" spans="1:15">
      <c r="B46" t="s">
        <v>337</v>
      </c>
      <c r="J46" s="3" t="s">
        <v>103</v>
      </c>
      <c r="K46" s="2" t="s">
        <v>14</v>
      </c>
      <c r="L46" s="2" t="s">
        <v>15</v>
      </c>
      <c r="M46" s="2" t="s">
        <v>16</v>
      </c>
    </row>
    <row r="47" spans="1:15">
      <c r="A47" t="s">
        <v>345</v>
      </c>
      <c r="B47">
        <v>1.2999999999999999E-2</v>
      </c>
      <c r="C47">
        <v>2.3400000000000001E-2</v>
      </c>
      <c r="D47">
        <v>1.1900000000000001E-3</v>
      </c>
      <c r="F47">
        <f t="shared" si="4"/>
        <v>1.2529999999999999E-2</v>
      </c>
      <c r="J47" t="s">
        <v>104</v>
      </c>
      <c r="K47">
        <f>K49+K52</f>
        <v>1.4369999999999998</v>
      </c>
      <c r="L47">
        <f t="shared" ref="L47:M47" si="5">L49+L52</f>
        <v>3.7629999999999999</v>
      </c>
      <c r="M47">
        <f t="shared" si="5"/>
        <v>1.3399999999999999</v>
      </c>
      <c r="O47">
        <f>AVERAGE(K47:M47)</f>
        <v>2.1799999999999997</v>
      </c>
    </row>
    <row r="48" spans="1:15">
      <c r="A48" t="s">
        <v>338</v>
      </c>
      <c r="B48">
        <v>4.1000000000000003E-3</v>
      </c>
      <c r="C48">
        <v>9.8099999999999993E-3</v>
      </c>
      <c r="D48">
        <v>4.2999999999999999E-4</v>
      </c>
      <c r="F48">
        <f t="shared" si="4"/>
        <v>4.7799999999999995E-3</v>
      </c>
    </row>
    <row r="49" spans="1:15">
      <c r="A49" t="s">
        <v>339</v>
      </c>
      <c r="B49">
        <v>0.121</v>
      </c>
      <c r="C49">
        <v>0.223</v>
      </c>
      <c r="D49">
        <v>1.7999999999999999E-2</v>
      </c>
      <c r="F49">
        <f t="shared" si="4"/>
        <v>0.12066666666666666</v>
      </c>
      <c r="J49" t="s">
        <v>183</v>
      </c>
      <c r="K49">
        <v>0.35099999999999998</v>
      </c>
      <c r="L49">
        <v>1.53</v>
      </c>
      <c r="M49">
        <v>0.59</v>
      </c>
      <c r="O49">
        <f>AVERAGE(K49:M49)</f>
        <v>0.82366666666666666</v>
      </c>
    </row>
    <row r="50" spans="1:15">
      <c r="A50" t="s">
        <v>340</v>
      </c>
      <c r="B50">
        <v>2.7699999999999999E-2</v>
      </c>
      <c r="C50">
        <v>4.2000000000000002E-4</v>
      </c>
      <c r="D50">
        <v>3.8999999999999999E-4</v>
      </c>
      <c r="F50">
        <f t="shared" si="4"/>
        <v>9.5033333333333341E-3</v>
      </c>
      <c r="J50" t="s">
        <v>359</v>
      </c>
      <c r="K50">
        <v>0.57699999999999996</v>
      </c>
      <c r="L50">
        <v>0.253</v>
      </c>
      <c r="M50">
        <v>0.59599999999999997</v>
      </c>
      <c r="O50">
        <f>AVERAGE(K50:M50)</f>
        <v>0.47533333333333333</v>
      </c>
    </row>
    <row r="51" spans="1:15">
      <c r="A51" t="s">
        <v>341</v>
      </c>
      <c r="B51">
        <v>3.4200000000000001E-2</v>
      </c>
      <c r="C51">
        <v>3.7900000000000003E-2</v>
      </c>
      <c r="D51">
        <v>5.3499999999999999E-2</v>
      </c>
      <c r="F51">
        <f t="shared" si="4"/>
        <v>4.1866666666666663E-2</v>
      </c>
      <c r="J51" t="s">
        <v>360</v>
      </c>
      <c r="K51">
        <v>0.50900000000000001</v>
      </c>
      <c r="L51">
        <v>1.98</v>
      </c>
      <c r="M51">
        <v>0.154</v>
      </c>
      <c r="O51">
        <f>AVERAGE(K51:M51)</f>
        <v>0.88099999999999989</v>
      </c>
    </row>
    <row r="52" spans="1:15">
      <c r="A52" t="s">
        <v>342</v>
      </c>
      <c r="B52">
        <v>9.1900000000000003E-3</v>
      </c>
      <c r="C52">
        <v>5.8E-4</v>
      </c>
      <c r="D52">
        <v>4.4000000000000002E-4</v>
      </c>
      <c r="F52">
        <f t="shared" si="4"/>
        <v>3.4033333333333333E-3</v>
      </c>
      <c r="J52" t="s">
        <v>361</v>
      </c>
      <c r="K52">
        <f>SUM(K50:K51)</f>
        <v>1.0859999999999999</v>
      </c>
      <c r="L52">
        <f t="shared" ref="L52:M52" si="6">SUM(L50:L51)</f>
        <v>2.2330000000000001</v>
      </c>
      <c r="M52">
        <f t="shared" si="6"/>
        <v>0.75</v>
      </c>
      <c r="O52">
        <f>AVERAGE(K52:M52)</f>
        <v>1.3563333333333334</v>
      </c>
    </row>
    <row r="53" spans="1:15">
      <c r="A53" t="s">
        <v>343</v>
      </c>
      <c r="B53">
        <f>0.757+0.194</f>
        <v>0.95100000000000007</v>
      </c>
      <c r="C53">
        <f>1.34+0.32</f>
        <v>1.6600000000000001</v>
      </c>
      <c r="D53">
        <f>0.19+0.0411</f>
        <v>0.2311</v>
      </c>
      <c r="F53">
        <f t="shared" si="4"/>
        <v>0.9473666666666668</v>
      </c>
    </row>
    <row r="54" spans="1:15">
      <c r="B54" t="s">
        <v>352</v>
      </c>
      <c r="J54" t="s">
        <v>18</v>
      </c>
      <c r="K54" s="1">
        <v>40738</v>
      </c>
      <c r="L54" s="1">
        <v>40740</v>
      </c>
      <c r="M54" s="1">
        <v>40741</v>
      </c>
    </row>
    <row r="55" spans="1:15">
      <c r="A55" t="s">
        <v>353</v>
      </c>
      <c r="B55">
        <v>4.0999999999999999E-4</v>
      </c>
      <c r="C55">
        <v>1.7000000000000001E-4</v>
      </c>
      <c r="D55">
        <v>2.1000000000000001E-4</v>
      </c>
      <c r="F55">
        <f t="shared" si="4"/>
        <v>2.6333333333333336E-4</v>
      </c>
      <c r="J55" t="s">
        <v>289</v>
      </c>
      <c r="K55">
        <v>20</v>
      </c>
      <c r="L55">
        <v>60</v>
      </c>
      <c r="M55">
        <v>40</v>
      </c>
    </row>
    <row r="56" spans="1:15">
      <c r="A56" t="s">
        <v>354</v>
      </c>
      <c r="B56">
        <v>6.8999999999999999E-3</v>
      </c>
      <c r="C56">
        <v>1.72E-3</v>
      </c>
      <c r="D56">
        <v>2.1800000000000001E-3</v>
      </c>
      <c r="F56">
        <f t="shared" si="4"/>
        <v>3.5999999999999995E-3</v>
      </c>
    </row>
    <row r="57" spans="1:15">
      <c r="A57" t="s">
        <v>355</v>
      </c>
      <c r="B57">
        <v>6.7000000000000002E-4</v>
      </c>
      <c r="C57">
        <v>2.4000000000000001E-4</v>
      </c>
      <c r="D57">
        <v>2.1000000000000001E-4</v>
      </c>
      <c r="F57">
        <f t="shared" si="4"/>
        <v>3.7333333333333332E-4</v>
      </c>
      <c r="J57" s="3" t="s">
        <v>292</v>
      </c>
      <c r="K57" s="128" t="s">
        <v>70</v>
      </c>
      <c r="L57" s="128"/>
      <c r="M57" s="128"/>
    </row>
    <row r="58" spans="1:15">
      <c r="J58" s="2" t="s">
        <v>69</v>
      </c>
      <c r="K58" s="2" t="s">
        <v>14</v>
      </c>
      <c r="L58" s="2" t="s">
        <v>15</v>
      </c>
      <c r="M58" s="2" t="s">
        <v>16</v>
      </c>
    </row>
    <row r="59" spans="1:15">
      <c r="J59" t="s">
        <v>293</v>
      </c>
      <c r="K59" s="4"/>
      <c r="L59" s="4"/>
      <c r="M59" s="4"/>
      <c r="N59" s="30" t="s">
        <v>357</v>
      </c>
      <c r="O59" s="30"/>
    </row>
    <row r="60" spans="1:15">
      <c r="A60" t="s">
        <v>140</v>
      </c>
      <c r="B60" t="s">
        <v>215</v>
      </c>
      <c r="J60" t="s">
        <v>294</v>
      </c>
      <c r="K60" s="4"/>
      <c r="L60" s="4"/>
      <c r="M60" s="4"/>
    </row>
    <row r="61" spans="1:15">
      <c r="A61" t="s">
        <v>312</v>
      </c>
      <c r="B61" s="9">
        <v>13370</v>
      </c>
      <c r="C61" s="9">
        <v>97883</v>
      </c>
      <c r="D61" s="9">
        <v>9319</v>
      </c>
      <c r="F61">
        <f>B61*3</f>
        <v>40110</v>
      </c>
      <c r="G61">
        <f t="shared" ref="G61:H61" si="7">C61*3</f>
        <v>293649</v>
      </c>
      <c r="H61">
        <f t="shared" si="7"/>
        <v>27957</v>
      </c>
      <c r="J61" t="s">
        <v>295</v>
      </c>
      <c r="K61" s="4"/>
      <c r="L61" s="4"/>
      <c r="M61" s="4"/>
    </row>
    <row r="62" spans="1:15">
      <c r="A62" t="s">
        <v>145</v>
      </c>
      <c r="B62" s="9">
        <v>241708</v>
      </c>
      <c r="C62" s="9">
        <v>484034</v>
      </c>
      <c r="D62" s="9">
        <v>483837</v>
      </c>
      <c r="F62" s="9">
        <f>AVERAGE(B62:D62)</f>
        <v>403193</v>
      </c>
      <c r="J62" t="s">
        <v>296</v>
      </c>
      <c r="K62" s="29">
        <v>3.1999999999999999E-5</v>
      </c>
      <c r="L62" s="4">
        <v>3.5800000000000003E-5</v>
      </c>
      <c r="M62" s="4">
        <v>2.83E-5</v>
      </c>
      <c r="N62" t="s">
        <v>356</v>
      </c>
      <c r="O62" s="4">
        <f>AVERAGE(K62:M62)</f>
        <v>3.203333333333333E-5</v>
      </c>
    </row>
    <row r="63" spans="1:15">
      <c r="A63" t="s">
        <v>146</v>
      </c>
      <c r="B63" s="9">
        <v>39250</v>
      </c>
      <c r="C63" s="9">
        <v>76346</v>
      </c>
      <c r="D63" s="9">
        <v>61316</v>
      </c>
      <c r="F63" s="9">
        <f t="shared" ref="F63:F82" si="8">AVERAGE(B63:D63)</f>
        <v>58970.666666666664</v>
      </c>
      <c r="J63" t="s">
        <v>297</v>
      </c>
      <c r="K63" s="4">
        <v>1.64E-4</v>
      </c>
      <c r="L63" s="4">
        <v>1.6699999999999999E-4</v>
      </c>
      <c r="M63" s="4">
        <v>9.0099999999999995E-5</v>
      </c>
      <c r="O63">
        <f t="shared" ref="O63:O68" si="9">AVERAGE(K63:M63)</f>
        <v>1.4036666666666667E-4</v>
      </c>
    </row>
    <row r="64" spans="1:15">
      <c r="A64" t="s">
        <v>52</v>
      </c>
      <c r="B64" s="9">
        <v>264</v>
      </c>
      <c r="C64" s="9">
        <v>390</v>
      </c>
      <c r="D64" s="9">
        <v>482</v>
      </c>
      <c r="F64" s="9">
        <f t="shared" si="8"/>
        <v>378.66666666666669</v>
      </c>
      <c r="J64" t="s">
        <v>298</v>
      </c>
      <c r="K64" s="4">
        <v>1.4E-5</v>
      </c>
      <c r="L64" s="4">
        <v>1.17E-5</v>
      </c>
      <c r="M64" s="4">
        <v>1.1199999999999999E-5</v>
      </c>
      <c r="O64">
        <f t="shared" si="9"/>
        <v>1.2300000000000001E-5</v>
      </c>
    </row>
    <row r="65" spans="1:15">
      <c r="A65" t="s">
        <v>332</v>
      </c>
      <c r="B65" s="9">
        <v>92.6</v>
      </c>
      <c r="C65" s="9">
        <v>162</v>
      </c>
      <c r="D65" s="9">
        <v>48</v>
      </c>
      <c r="F65" s="9">
        <f t="shared" si="8"/>
        <v>100.86666666666667</v>
      </c>
      <c r="J65" t="s">
        <v>299</v>
      </c>
      <c r="K65" s="4">
        <v>8.6899999999999998E-5</v>
      </c>
      <c r="L65" s="4">
        <v>1.49E-3</v>
      </c>
      <c r="M65" s="4">
        <v>6.69E-4</v>
      </c>
      <c r="O65">
        <f t="shared" si="9"/>
        <v>7.4863333333333333E-4</v>
      </c>
    </row>
    <row r="66" spans="1:15">
      <c r="A66" t="s">
        <v>333</v>
      </c>
      <c r="B66" s="9">
        <v>245</v>
      </c>
      <c r="C66" s="9">
        <v>472</v>
      </c>
      <c r="D66" s="9">
        <v>204</v>
      </c>
      <c r="F66" s="9">
        <f t="shared" si="8"/>
        <v>307</v>
      </c>
      <c r="J66" t="s">
        <v>300</v>
      </c>
      <c r="K66" s="4">
        <v>1.4799999999999999E-4</v>
      </c>
      <c r="L66" s="4">
        <v>5.8500000000000002E-4</v>
      </c>
      <c r="M66" s="4">
        <v>2.61E-4</v>
      </c>
      <c r="O66">
        <f t="shared" si="9"/>
        <v>3.3133333333333338E-4</v>
      </c>
    </row>
    <row r="67" spans="1:15">
      <c r="A67" t="s">
        <v>54</v>
      </c>
      <c r="B67" s="9">
        <v>902</v>
      </c>
      <c r="C67" s="9">
        <v>1256</v>
      </c>
      <c r="D67" s="9">
        <v>1457</v>
      </c>
      <c r="F67" s="9">
        <f t="shared" si="8"/>
        <v>1205</v>
      </c>
      <c r="J67" t="s">
        <v>301</v>
      </c>
      <c r="K67" s="4">
        <v>2.0599999999999999E-4</v>
      </c>
      <c r="L67" s="29">
        <v>5.6100000000000002E-5</v>
      </c>
      <c r="M67" s="29">
        <v>1.49E-5</v>
      </c>
      <c r="N67" t="s">
        <v>356</v>
      </c>
      <c r="O67">
        <f t="shared" si="9"/>
        <v>9.2333333333333319E-5</v>
      </c>
    </row>
    <row r="68" spans="1:15">
      <c r="A68" t="s">
        <v>216</v>
      </c>
      <c r="B68" s="9">
        <v>552</v>
      </c>
      <c r="C68" s="9">
        <v>19696</v>
      </c>
      <c r="D68" s="9">
        <v>5446</v>
      </c>
      <c r="F68" s="9">
        <f t="shared" si="8"/>
        <v>8564.6666666666661</v>
      </c>
      <c r="J68" t="s">
        <v>302</v>
      </c>
      <c r="K68" s="4"/>
      <c r="L68" s="4"/>
      <c r="M68" s="4"/>
      <c r="O68" t="e">
        <f t="shared" si="9"/>
        <v>#DIV/0!</v>
      </c>
    </row>
    <row r="69" spans="1:15">
      <c r="A69" t="s">
        <v>334</v>
      </c>
      <c r="B69">
        <v>1.42</v>
      </c>
      <c r="C69">
        <v>6.61</v>
      </c>
      <c r="D69" s="9">
        <v>9.19</v>
      </c>
      <c r="F69" s="9">
        <f t="shared" si="8"/>
        <v>5.7399999999999993</v>
      </c>
      <c r="K69" s="4"/>
      <c r="L69" s="4"/>
      <c r="M69" s="4"/>
    </row>
    <row r="70" spans="1:15">
      <c r="A70" t="s">
        <v>335</v>
      </c>
      <c r="B70">
        <v>243</v>
      </c>
      <c r="C70">
        <v>248</v>
      </c>
      <c r="D70" s="9">
        <v>75</v>
      </c>
      <c r="F70" s="9">
        <f t="shared" si="8"/>
        <v>188.66666666666666</v>
      </c>
      <c r="J70" t="s">
        <v>18</v>
      </c>
      <c r="K70" s="1">
        <v>40738</v>
      </c>
      <c r="L70" s="1">
        <v>40740</v>
      </c>
      <c r="M70" s="1">
        <v>40741</v>
      </c>
    </row>
    <row r="71" spans="1:15">
      <c r="B71" t="s">
        <v>344</v>
      </c>
      <c r="F71" s="9"/>
      <c r="J71" t="s">
        <v>289</v>
      </c>
      <c r="K71">
        <v>20</v>
      </c>
      <c r="L71">
        <v>60</v>
      </c>
      <c r="M71">
        <v>40</v>
      </c>
    </row>
    <row r="72" spans="1:15">
      <c r="A72" t="s">
        <v>345</v>
      </c>
      <c r="B72" s="20">
        <v>33492</v>
      </c>
      <c r="C72" s="20">
        <v>68078</v>
      </c>
      <c r="D72" s="20" t="s">
        <v>347</v>
      </c>
      <c r="F72" s="9">
        <f t="shared" si="8"/>
        <v>50785</v>
      </c>
    </row>
    <row r="73" spans="1:15">
      <c r="A73" t="s">
        <v>338</v>
      </c>
      <c r="B73" s="20">
        <v>10585</v>
      </c>
      <c r="C73" s="20">
        <v>28537</v>
      </c>
      <c r="D73" s="20" t="s">
        <v>348</v>
      </c>
      <c r="F73" s="9">
        <f t="shared" si="8"/>
        <v>19561</v>
      </c>
      <c r="J73" s="3" t="s">
        <v>303</v>
      </c>
      <c r="K73" s="4"/>
      <c r="L73" s="4"/>
      <c r="M73" s="4"/>
    </row>
    <row r="74" spans="1:15">
      <c r="A74" t="s">
        <v>339</v>
      </c>
      <c r="B74" s="20">
        <v>311422</v>
      </c>
      <c r="C74" s="20">
        <v>647389</v>
      </c>
      <c r="D74" s="20">
        <v>107874</v>
      </c>
      <c r="F74" s="9">
        <f t="shared" si="8"/>
        <v>355561.66666666669</v>
      </c>
      <c r="J74" t="s">
        <v>304</v>
      </c>
      <c r="K74" s="4"/>
      <c r="L74" s="4"/>
      <c r="M74" s="4"/>
      <c r="N74" t="s">
        <v>358</v>
      </c>
    </row>
    <row r="75" spans="1:15">
      <c r="A75" t="s">
        <v>340</v>
      </c>
      <c r="B75" s="20">
        <v>71451</v>
      </c>
      <c r="C75" s="20">
        <v>1214</v>
      </c>
      <c r="D75" s="20">
        <v>2389</v>
      </c>
      <c r="F75" s="9">
        <f t="shared" si="8"/>
        <v>25018</v>
      </c>
      <c r="J75" t="s">
        <v>305</v>
      </c>
      <c r="K75" s="29">
        <v>2.1800000000000001E-5</v>
      </c>
      <c r="L75" s="29">
        <v>1.11E-5</v>
      </c>
      <c r="M75" s="29">
        <v>9.4299999999999995E-6</v>
      </c>
      <c r="N75" t="s">
        <v>309</v>
      </c>
    </row>
    <row r="76" spans="1:15">
      <c r="A76" t="s">
        <v>341</v>
      </c>
      <c r="B76" s="20">
        <v>88176</v>
      </c>
      <c r="C76" s="20">
        <v>110352</v>
      </c>
      <c r="D76" s="20">
        <v>328498</v>
      </c>
      <c r="F76" s="9">
        <f t="shared" si="8"/>
        <v>175675.33333333334</v>
      </c>
      <c r="J76" t="s">
        <v>306</v>
      </c>
      <c r="K76" s="29">
        <v>5.13E-5</v>
      </c>
      <c r="L76" s="29">
        <v>2.4499999999999999E-5</v>
      </c>
      <c r="M76" s="29">
        <v>1.5E-5</v>
      </c>
      <c r="N76" t="s">
        <v>309</v>
      </c>
    </row>
    <row r="77" spans="1:15">
      <c r="A77" t="s">
        <v>342</v>
      </c>
      <c r="B77" s="20">
        <v>23711</v>
      </c>
      <c r="C77" s="20" t="s">
        <v>346</v>
      </c>
      <c r="D77" s="20" t="s">
        <v>349</v>
      </c>
      <c r="F77" s="9">
        <f t="shared" si="8"/>
        <v>23711</v>
      </c>
      <c r="J77" t="s">
        <v>308</v>
      </c>
      <c r="K77" s="4"/>
      <c r="L77" s="4"/>
      <c r="M77" s="4"/>
    </row>
    <row r="78" spans="1:15">
      <c r="A78" t="s">
        <v>343</v>
      </c>
      <c r="B78" s="20">
        <f>1954059+501535</f>
        <v>2455594</v>
      </c>
      <c r="C78" s="20">
        <f>3897162+929265</f>
        <v>4826427</v>
      </c>
      <c r="D78" s="20">
        <f>1167114+252438</f>
        <v>1419552</v>
      </c>
      <c r="F78" s="9">
        <f t="shared" si="8"/>
        <v>2900524.3333333335</v>
      </c>
    </row>
    <row r="79" spans="1:15">
      <c r="F79" s="9"/>
    </row>
    <row r="80" spans="1:15">
      <c r="A80" t="s">
        <v>353</v>
      </c>
      <c r="B80" s="20">
        <v>1064</v>
      </c>
      <c r="C80" s="20">
        <v>505</v>
      </c>
      <c r="D80" s="20">
        <v>1281</v>
      </c>
      <c r="F80" s="9">
        <f t="shared" si="8"/>
        <v>950</v>
      </c>
    </row>
    <row r="81" spans="1:6">
      <c r="A81" t="s">
        <v>354</v>
      </c>
      <c r="B81" s="20">
        <v>17807</v>
      </c>
      <c r="C81" s="20">
        <v>4991</v>
      </c>
      <c r="D81" s="20">
        <v>13382</v>
      </c>
      <c r="F81" s="9">
        <f t="shared" si="8"/>
        <v>12060</v>
      </c>
    </row>
    <row r="82" spans="1:6">
      <c r="A82" t="s">
        <v>355</v>
      </c>
      <c r="B82" s="20">
        <v>1724</v>
      </c>
      <c r="C82" s="20">
        <v>701</v>
      </c>
      <c r="D82" s="20">
        <v>1274</v>
      </c>
      <c r="F82" s="9">
        <f t="shared" si="8"/>
        <v>1233</v>
      </c>
    </row>
    <row r="84" spans="1:6">
      <c r="A84" s="3" t="s">
        <v>497</v>
      </c>
    </row>
    <row r="85" spans="1:6">
      <c r="B85" s="2" t="s">
        <v>14</v>
      </c>
      <c r="C85" s="2" t="s">
        <v>15</v>
      </c>
      <c r="D85" s="2" t="s">
        <v>16</v>
      </c>
      <c r="F85" s="45" t="s">
        <v>186</v>
      </c>
    </row>
    <row r="86" spans="1:6">
      <c r="A86" s="45" t="s">
        <v>494</v>
      </c>
      <c r="B86" s="101">
        <f>B32*B23</f>
        <v>263945.75362318818</v>
      </c>
      <c r="C86" s="101">
        <f t="shared" ref="C86:D86" si="10">C32*C23</f>
        <v>223991.99999999977</v>
      </c>
      <c r="D86" s="101">
        <f t="shared" si="10"/>
        <v>160556.00000000096</v>
      </c>
      <c r="F86" s="9">
        <f t="shared" ref="F86:F109" si="11">AVERAGE(B86:D86)</f>
        <v>216164.58454106297</v>
      </c>
    </row>
    <row r="87" spans="1:6">
      <c r="A87" s="45" t="s">
        <v>495</v>
      </c>
      <c r="B87" s="9">
        <f>B86/849.5*18*2.2046</f>
        <v>12329.731079315188</v>
      </c>
      <c r="C87" s="9">
        <f t="shared" ref="C87:D87" si="12">C86/849.5*18*2.2046</f>
        <v>10463.366377398459</v>
      </c>
      <c r="D87" s="9">
        <f t="shared" si="12"/>
        <v>7500.072556562729</v>
      </c>
      <c r="F87" s="9">
        <f t="shared" si="11"/>
        <v>10097.723337758793</v>
      </c>
    </row>
    <row r="88" spans="1:6">
      <c r="A88" s="45" t="s">
        <v>496</v>
      </c>
      <c r="F88" s="9"/>
    </row>
    <row r="89" spans="1:6">
      <c r="A89" s="91" t="s">
        <v>145</v>
      </c>
      <c r="B89">
        <f>B36/B87</f>
        <v>5.0528271540744938E-3</v>
      </c>
      <c r="C89">
        <f t="shared" ref="C89:D89" si="13">C36/C87</f>
        <v>1.0608440533991728E-2</v>
      </c>
      <c r="D89">
        <f t="shared" si="13"/>
        <v>7.0132654855417156E-3</v>
      </c>
      <c r="F89">
        <f t="shared" si="11"/>
        <v>7.5581777245359791E-3</v>
      </c>
    </row>
    <row r="90" spans="1:6">
      <c r="A90" s="91" t="s">
        <v>146</v>
      </c>
      <c r="B90">
        <f>B37/B87</f>
        <v>1.5409906248381282E-3</v>
      </c>
      <c r="C90">
        <f t="shared" ref="C90:D90" si="14">C37/C87</f>
        <v>3.1347463920263843E-3</v>
      </c>
      <c r="D90">
        <f t="shared" si="14"/>
        <v>1.6666505431420426E-3</v>
      </c>
      <c r="F90">
        <f t="shared" si="11"/>
        <v>2.1141291866688516E-3</v>
      </c>
    </row>
    <row r="91" spans="1:6">
      <c r="A91" s="91" t="s">
        <v>193</v>
      </c>
      <c r="B91" s="45">
        <f>B35/B87</f>
        <v>7.7049531241906409E-4</v>
      </c>
      <c r="C91" s="45">
        <f t="shared" ref="C91:D91" si="15">C35/C87</f>
        <v>5.896763792317925E-3</v>
      </c>
      <c r="D91" s="45">
        <f t="shared" si="15"/>
        <v>3.7199640122930388E-4</v>
      </c>
      <c r="F91">
        <f t="shared" si="11"/>
        <v>2.3464185019887642E-3</v>
      </c>
    </row>
    <row r="92" spans="1:6">
      <c r="A92" s="91" t="s">
        <v>52</v>
      </c>
      <c r="B92">
        <f>B39/B87</f>
        <v>2.6926783549803084E-5</v>
      </c>
      <c r="C92">
        <f t="shared" ref="C92:D92" si="16">C39/C87</f>
        <v>4.1573618308886502E-5</v>
      </c>
      <c r="D92">
        <f t="shared" si="16"/>
        <v>3.3999671080097671E-5</v>
      </c>
      <c r="F92">
        <f t="shared" si="11"/>
        <v>3.4166690979595757E-5</v>
      </c>
    </row>
    <row r="93" spans="1:6">
      <c r="A93" s="91" t="s">
        <v>54</v>
      </c>
      <c r="B93">
        <f>B42/B87</f>
        <v>1.086803914359522E-4</v>
      </c>
      <c r="C93">
        <f t="shared" ref="C93:D93" si="17">C42/C87</f>
        <v>1.5769303496474189E-4</v>
      </c>
      <c r="D93">
        <f t="shared" si="17"/>
        <v>1.2133215954074071E-4</v>
      </c>
      <c r="F93">
        <f t="shared" si="11"/>
        <v>1.292351953138116E-4</v>
      </c>
    </row>
    <row r="94" spans="1:6">
      <c r="A94" s="92" t="s">
        <v>339</v>
      </c>
      <c r="B94">
        <f>B49/B87</f>
        <v>9.8136771371270271E-6</v>
      </c>
      <c r="C94">
        <f t="shared" ref="C94:D94" si="18">C49/C87</f>
        <v>2.1312452604325724E-5</v>
      </c>
      <c r="D94">
        <f t="shared" si="18"/>
        <v>2.3999767821245411E-6</v>
      </c>
      <c r="F94">
        <f t="shared" si="11"/>
        <v>1.117536884119243E-5</v>
      </c>
    </row>
    <row r="95" spans="1:6">
      <c r="A95" s="91" t="s">
        <v>167</v>
      </c>
      <c r="B95">
        <f>B53/B87</f>
        <v>7.7130636011634731E-5</v>
      </c>
      <c r="C95">
        <f t="shared" ref="C95:D95" si="19">C53/C87</f>
        <v>1.5864875032816459E-4</v>
      </c>
      <c r="D95">
        <f t="shared" si="19"/>
        <v>3.0813035241610084E-5</v>
      </c>
      <c r="F95">
        <f t="shared" si="11"/>
        <v>8.8864140527136458E-5</v>
      </c>
    </row>
    <row r="96" spans="1:6">
      <c r="A96" s="91" t="s">
        <v>168</v>
      </c>
      <c r="B96" s="13"/>
    </row>
    <row r="97" spans="1:7">
      <c r="A97" s="93" t="s">
        <v>78</v>
      </c>
      <c r="B97" s="95">
        <f>K26/B87</f>
        <v>2.5637217711122752E-5</v>
      </c>
      <c r="C97" s="95">
        <f t="shared" ref="C97:D97" si="20">L26/C87</f>
        <v>9.9394397795958534E-6</v>
      </c>
      <c r="D97" s="95">
        <f t="shared" si="20"/>
        <v>2.6093080903431821E-5</v>
      </c>
      <c r="F97">
        <f t="shared" si="11"/>
        <v>2.0556579464716808E-5</v>
      </c>
    </row>
    <row r="98" spans="1:7">
      <c r="A98" s="93" t="s">
        <v>56</v>
      </c>
      <c r="B98" s="95">
        <f>K28/B87</f>
        <v>1.5150370985250648E-5</v>
      </c>
      <c r="C98" s="95">
        <f t="shared" ref="C98:D98" si="21">L28/C87</f>
        <v>4.8168054316502978E-6</v>
      </c>
      <c r="D98" s="95">
        <f t="shared" si="21"/>
        <v>1.4106530197154249E-5</v>
      </c>
      <c r="F98">
        <f t="shared" si="11"/>
        <v>1.1357902204685065E-5</v>
      </c>
    </row>
    <row r="99" spans="1:7">
      <c r="A99" s="93" t="s">
        <v>87</v>
      </c>
      <c r="B99" s="45" t="s">
        <v>407</v>
      </c>
      <c r="C99" s="45" t="s">
        <v>407</v>
      </c>
      <c r="D99" s="45" t="s">
        <v>407</v>
      </c>
      <c r="G99">
        <f>F99/F$97</f>
        <v>0</v>
      </c>
    </row>
    <row r="100" spans="1:7">
      <c r="A100" s="93" t="s">
        <v>74</v>
      </c>
      <c r="B100" s="95">
        <f>K9/B87</f>
        <v>1.0949143913323542E-6</v>
      </c>
      <c r="C100" s="95">
        <f t="shared" ref="C100:D100" si="22">L9/C87</f>
        <v>2.5995457885096851E-7</v>
      </c>
      <c r="D100" s="95">
        <f t="shared" si="22"/>
        <v>1.4799856823101339E-6</v>
      </c>
      <c r="F100">
        <f t="shared" si="11"/>
        <v>9.4495155083115231E-7</v>
      </c>
      <c r="G100">
        <f t="shared" ref="G100:G101" si="23">F100/F$97</f>
        <v>4.5968326221444651E-2</v>
      </c>
    </row>
    <row r="101" spans="1:7">
      <c r="A101" s="94" t="s">
        <v>76</v>
      </c>
      <c r="B101" s="95">
        <f>K23/B87</f>
        <v>1.3950020393271475E-6</v>
      </c>
      <c r="C101" s="95"/>
      <c r="D101" s="95"/>
      <c r="F101">
        <f t="shared" si="11"/>
        <v>1.3950020393271475E-6</v>
      </c>
      <c r="G101">
        <f t="shared" si="23"/>
        <v>6.7861583767937689E-2</v>
      </c>
    </row>
    <row r="102" spans="1:7">
      <c r="A102" s="93" t="s">
        <v>179</v>
      </c>
      <c r="B102" s="95"/>
      <c r="C102" s="95"/>
      <c r="D102" s="95"/>
    </row>
    <row r="103" spans="1:7">
      <c r="A103" s="93"/>
      <c r="B103" s="95"/>
      <c r="C103" s="95"/>
      <c r="D103" s="95"/>
    </row>
    <row r="104" spans="1:7">
      <c r="A104" s="93" t="s">
        <v>88</v>
      </c>
      <c r="B104" s="45" t="s">
        <v>407</v>
      </c>
      <c r="C104" s="45" t="s">
        <v>407</v>
      </c>
      <c r="D104" s="45" t="s">
        <v>407</v>
      </c>
    </row>
    <row r="105" spans="1:7">
      <c r="A105" s="93" t="s">
        <v>189</v>
      </c>
      <c r="B105" s="45" t="s">
        <v>407</v>
      </c>
      <c r="C105" s="45" t="s">
        <v>407</v>
      </c>
      <c r="D105" s="45" t="s">
        <v>407</v>
      </c>
    </row>
    <row r="106" spans="1:7">
      <c r="A106" s="93"/>
      <c r="B106" s="95"/>
      <c r="C106" s="95"/>
      <c r="D106" s="95"/>
    </row>
    <row r="107" spans="1:7">
      <c r="A107" s="93" t="s">
        <v>184</v>
      </c>
      <c r="B107" s="95">
        <f>K47/B87</f>
        <v>1.1654755409959946E-4</v>
      </c>
      <c r="C107" s="95">
        <f t="shared" ref="C107:D107" si="24">L47/C87</f>
        <v>3.5963569125595381E-4</v>
      </c>
      <c r="D107" s="95">
        <f t="shared" si="24"/>
        <v>1.7866493822482694E-4</v>
      </c>
      <c r="F107">
        <f t="shared" si="11"/>
        <v>2.1828272786012675E-4</v>
      </c>
    </row>
    <row r="108" spans="1:7">
      <c r="A108" s="93" t="s">
        <v>183</v>
      </c>
      <c r="B108" s="95">
        <f>K49/B87</f>
        <v>2.8467774174641207E-5</v>
      </c>
      <c r="C108" s="95">
        <f t="shared" ref="C108:D108" si="25">L49/C87</f>
        <v>1.4622445060366978E-4</v>
      </c>
      <c r="D108" s="95">
        <f t="shared" si="25"/>
        <v>7.86659056363044E-5</v>
      </c>
      <c r="F108">
        <f t="shared" si="11"/>
        <v>8.4452710138205127E-5</v>
      </c>
    </row>
    <row r="109" spans="1:7">
      <c r="A109" s="94" t="s">
        <v>142</v>
      </c>
      <c r="B109" s="95">
        <f>K52/B87</f>
        <v>8.8079779924958256E-5</v>
      </c>
      <c r="C109" s="95">
        <f t="shared" ref="C109:D109" si="26">L52/C87</f>
        <v>2.1341124065228404E-4</v>
      </c>
      <c r="D109" s="95">
        <f t="shared" si="26"/>
        <v>9.9999032588522554E-5</v>
      </c>
      <c r="F109">
        <f t="shared" si="11"/>
        <v>1.3383001772192162E-4</v>
      </c>
    </row>
  </sheetData>
  <mergeCells count="3">
    <mergeCell ref="K4:M4"/>
    <mergeCell ref="K45:M45"/>
    <mergeCell ref="K57:M5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topLeftCell="A46" workbookViewId="0">
      <selection activeCell="G61" sqref="G61"/>
    </sheetView>
  </sheetViews>
  <sheetFormatPr defaultRowHeight="12.75"/>
  <cols>
    <col min="1" max="1" width="36.85546875" customWidth="1"/>
    <col min="2" max="3" width="12.42578125" bestFit="1" customWidth="1"/>
    <col min="4" max="4" width="9.28515625" bestFit="1" customWidth="1"/>
  </cols>
  <sheetData>
    <row r="1" spans="1:4" ht="15.75">
      <c r="A1" s="45" t="s">
        <v>515</v>
      </c>
      <c r="C1" s="5" t="s">
        <v>512</v>
      </c>
    </row>
    <row r="2" spans="1:4">
      <c r="A2" s="45" t="s">
        <v>518</v>
      </c>
      <c r="C2" s="45" t="s">
        <v>513</v>
      </c>
    </row>
    <row r="3" spans="1:4">
      <c r="C3" t="s">
        <v>157</v>
      </c>
      <c r="D3" s="102" t="s">
        <v>514</v>
      </c>
    </row>
    <row r="4" spans="1:4">
      <c r="A4" s="2" t="s">
        <v>1</v>
      </c>
      <c r="B4" s="2" t="s">
        <v>2</v>
      </c>
    </row>
    <row r="5" spans="1:4">
      <c r="A5" t="s">
        <v>10</v>
      </c>
      <c r="B5" s="45" t="s">
        <v>517</v>
      </c>
    </row>
    <row r="6" spans="1:4">
      <c r="A6" t="s">
        <v>11</v>
      </c>
    </row>
    <row r="7" spans="1:4">
      <c r="A7" t="s">
        <v>113</v>
      </c>
      <c r="B7">
        <v>73</v>
      </c>
      <c r="C7">
        <v>73</v>
      </c>
    </row>
    <row r="8" spans="1:4">
      <c r="A8" s="45" t="s">
        <v>523</v>
      </c>
      <c r="B8">
        <v>21.5</v>
      </c>
      <c r="C8">
        <v>21.5</v>
      </c>
      <c r="D8" s="9"/>
    </row>
    <row r="9" spans="1:4">
      <c r="A9" t="s">
        <v>3</v>
      </c>
    </row>
    <row r="10" spans="1:4">
      <c r="A10" t="s">
        <v>4</v>
      </c>
      <c r="B10">
        <v>16</v>
      </c>
      <c r="C10">
        <v>16</v>
      </c>
    </row>
    <row r="11" spans="1:4">
      <c r="A11" t="s">
        <v>5</v>
      </c>
    </row>
    <row r="12" spans="1:4">
      <c r="A12" t="s">
        <v>6</v>
      </c>
    </row>
    <row r="13" spans="1:4">
      <c r="A13" t="s">
        <v>7</v>
      </c>
      <c r="D13" s="9"/>
    </row>
    <row r="14" spans="1:4">
      <c r="A14" t="s">
        <v>8</v>
      </c>
    </row>
    <row r="15" spans="1:4">
      <c r="A15" t="s">
        <v>9</v>
      </c>
    </row>
    <row r="18" spans="1:5">
      <c r="B18" s="45" t="s">
        <v>529</v>
      </c>
      <c r="C18" s="45" t="s">
        <v>530</v>
      </c>
      <c r="D18" s="45"/>
    </row>
    <row r="19" spans="1:5">
      <c r="A19" t="s">
        <v>18</v>
      </c>
      <c r="B19" s="1"/>
      <c r="C19" s="1"/>
      <c r="D19" s="1"/>
      <c r="E19" s="1"/>
    </row>
    <row r="20" spans="1:5">
      <c r="A20" t="s">
        <v>112</v>
      </c>
    </row>
    <row r="21" spans="1:5">
      <c r="A21" t="s">
        <v>23</v>
      </c>
      <c r="B21">
        <v>91</v>
      </c>
      <c r="C21">
        <v>91</v>
      </c>
    </row>
    <row r="22" spans="1:5">
      <c r="A22" t="s">
        <v>158</v>
      </c>
    </row>
    <row r="23" spans="1:5">
      <c r="A23" t="s">
        <v>160</v>
      </c>
    </row>
    <row r="24" spans="1:5">
      <c r="A24" t="s">
        <v>24</v>
      </c>
      <c r="B24">
        <v>535</v>
      </c>
      <c r="C24">
        <v>535</v>
      </c>
    </row>
    <row r="25" spans="1:5">
      <c r="A25" t="s">
        <v>115</v>
      </c>
      <c r="B25">
        <v>34</v>
      </c>
      <c r="C25">
        <v>34</v>
      </c>
    </row>
    <row r="27" spans="1:5">
      <c r="A27" t="s">
        <v>31</v>
      </c>
      <c r="B27">
        <v>97.7</v>
      </c>
      <c r="C27">
        <v>97.7</v>
      </c>
    </row>
    <row r="31" spans="1:5">
      <c r="A31" t="s">
        <v>140</v>
      </c>
      <c r="B31" t="s">
        <v>143</v>
      </c>
    </row>
    <row r="32" spans="1:5">
      <c r="A32" t="s">
        <v>141</v>
      </c>
      <c r="B32">
        <v>3.77</v>
      </c>
      <c r="C32">
        <v>3.77</v>
      </c>
    </row>
    <row r="33" spans="1:5">
      <c r="A33" t="s">
        <v>142</v>
      </c>
      <c r="B33">
        <v>0.66</v>
      </c>
      <c r="C33">
        <v>0.66</v>
      </c>
    </row>
    <row r="34" spans="1:5">
      <c r="A34" s="45" t="s">
        <v>249</v>
      </c>
      <c r="B34">
        <f>B44*B$58/1000000/849.5*14.7*2.2046</f>
        <v>4.5130328969982347</v>
      </c>
      <c r="C34">
        <f>C44*C$58/1000000/849.5*14.7*2.2046</f>
        <v>4.4408243706462631</v>
      </c>
    </row>
    <row r="35" spans="1:5">
      <c r="A35" t="s">
        <v>145</v>
      </c>
      <c r="B35">
        <f>B45*B$58/1000000/849.5*16*2.2046</f>
        <v>169.96020488287229</v>
      </c>
      <c r="C35">
        <f>C45*C$58/1000000/849.5*16*2.2046</f>
        <v>154.73255646851089</v>
      </c>
    </row>
    <row r="36" spans="1:5">
      <c r="A36" t="s">
        <v>146</v>
      </c>
      <c r="B36">
        <f>B46*B$58/1000000/849.5*15*2.2046</f>
        <v>13.723304115361977</v>
      </c>
      <c r="C36">
        <f>C46*C$58/1000000/849.5*15*2.2046</f>
        <v>12.57202021306651</v>
      </c>
    </row>
    <row r="37" spans="1:5">
      <c r="A37" t="s">
        <v>52</v>
      </c>
      <c r="B37">
        <f>B47*B$58/1000000/849.5*78*2.2046</f>
        <v>0.90758012585756342</v>
      </c>
      <c r="C37">
        <f>C47*C$58/1000000/849.5*78*2.2046</f>
        <v>0.94110551309240731</v>
      </c>
    </row>
    <row r="38" spans="1:5">
      <c r="A38" t="s">
        <v>54</v>
      </c>
      <c r="B38">
        <f>B48*B$58/1000000/849.5*92*2.2046</f>
        <v>1.3020867430441438</v>
      </c>
      <c r="C38">
        <f>C48*C$58/1000000/849.5*92*2.2046</f>
        <v>1.3585764065167747</v>
      </c>
    </row>
    <row r="39" spans="1:5">
      <c r="A39" t="s">
        <v>147</v>
      </c>
      <c r="B39">
        <f>B49*B$58/1000000/849.5*106*2.2046</f>
        <v>4.8163578291230143E-2</v>
      </c>
      <c r="C39">
        <f>C49*C$58/1000000/849.5*106*2.2046</f>
        <v>4.1329557047204243E-2</v>
      </c>
    </row>
    <row r="40" spans="1:5">
      <c r="A40" t="s">
        <v>148</v>
      </c>
      <c r="B40">
        <f>B50*B$58/1000000/849.5*106*2.2046</f>
        <v>0.62840452486733378</v>
      </c>
      <c r="C40">
        <f>C50*C$58/1000000/849.5*106*2.2046</f>
        <v>0.63686569402660387</v>
      </c>
    </row>
    <row r="42" spans="1:5">
      <c r="B42" s="45" t="s">
        <v>531</v>
      </c>
      <c r="D42" s="45"/>
    </row>
    <row r="43" spans="1:5">
      <c r="A43" t="s">
        <v>140</v>
      </c>
      <c r="B43" t="s">
        <v>149</v>
      </c>
      <c r="D43" t="s">
        <v>180</v>
      </c>
    </row>
    <row r="44" spans="1:5">
      <c r="A44" t="s">
        <v>159</v>
      </c>
      <c r="B44">
        <v>10000</v>
      </c>
      <c r="C44">
        <v>9840</v>
      </c>
      <c r="D44">
        <f>B44*(1-$B$27/100)</f>
        <v>230.0000000000002</v>
      </c>
      <c r="E44">
        <f>C44*(1-$C$27/100)</f>
        <v>226.32000000000019</v>
      </c>
    </row>
    <row r="45" spans="1:5">
      <c r="A45" t="s">
        <v>145</v>
      </c>
      <c r="B45">
        <v>346000</v>
      </c>
      <c r="C45">
        <v>315000</v>
      </c>
      <c r="D45">
        <f t="shared" ref="D45:D50" si="0">B45*(1-$B$27/100)</f>
        <v>7958.0000000000073</v>
      </c>
      <c r="E45">
        <f t="shared" ref="E45:E50" si="1">C45*(1-$C$27/100)</f>
        <v>7245.0000000000064</v>
      </c>
    </row>
    <row r="46" spans="1:5">
      <c r="A46" t="s">
        <v>195</v>
      </c>
      <c r="B46">
        <f>29800</f>
        <v>29800</v>
      </c>
      <c r="C46">
        <v>27300</v>
      </c>
      <c r="D46">
        <f t="shared" si="0"/>
        <v>685.40000000000066</v>
      </c>
      <c r="E46">
        <f t="shared" si="1"/>
        <v>627.90000000000055</v>
      </c>
    </row>
    <row r="47" spans="1:5">
      <c r="A47" t="s">
        <v>52</v>
      </c>
      <c r="B47">
        <v>379</v>
      </c>
      <c r="C47">
        <v>393</v>
      </c>
      <c r="D47">
        <f t="shared" si="0"/>
        <v>8.7170000000000076</v>
      </c>
      <c r="E47">
        <f t="shared" si="1"/>
        <v>9.0390000000000086</v>
      </c>
    </row>
    <row r="48" spans="1:5">
      <c r="A48" t="s">
        <v>54</v>
      </c>
      <c r="B48">
        <v>461</v>
      </c>
      <c r="C48">
        <v>481</v>
      </c>
      <c r="D48">
        <f t="shared" si="0"/>
        <v>10.603000000000009</v>
      </c>
      <c r="E48">
        <f t="shared" si="1"/>
        <v>11.063000000000009</v>
      </c>
    </row>
    <row r="49" spans="1:5">
      <c r="A49" t="s">
        <v>147</v>
      </c>
      <c r="B49">
        <v>14.8</v>
      </c>
      <c r="C49">
        <v>12.7</v>
      </c>
      <c r="D49">
        <f t="shared" si="0"/>
        <v>0.34040000000000031</v>
      </c>
      <c r="E49">
        <f t="shared" si="1"/>
        <v>0.29210000000000025</v>
      </c>
    </row>
    <row r="50" spans="1:5">
      <c r="A50" t="s">
        <v>148</v>
      </c>
      <c r="B50">
        <f>171+22.1</f>
        <v>193.1</v>
      </c>
      <c r="C50">
        <f>177+18.7</f>
        <v>195.7</v>
      </c>
      <c r="D50">
        <f t="shared" si="0"/>
        <v>4.4413000000000036</v>
      </c>
      <c r="E50">
        <f t="shared" si="1"/>
        <v>4.5011000000000037</v>
      </c>
    </row>
    <row r="53" spans="1:5">
      <c r="A53" t="s">
        <v>190</v>
      </c>
      <c r="B53">
        <f>B54/(1-B27/100)</f>
        <v>5652.1739130434735</v>
      </c>
      <c r="C53">
        <f>C54/(1-C27/100)</f>
        <v>5652.1739130434735</v>
      </c>
    </row>
    <row r="54" spans="1:5">
      <c r="A54" t="s">
        <v>191</v>
      </c>
      <c r="B54">
        <v>130</v>
      </c>
      <c r="C54">
        <v>130</v>
      </c>
    </row>
    <row r="55" spans="1:5">
      <c r="A55" t="s">
        <v>192</v>
      </c>
      <c r="B55">
        <v>91</v>
      </c>
      <c r="C55">
        <v>91</v>
      </c>
    </row>
    <row r="57" spans="1:5">
      <c r="A57" s="45" t="s">
        <v>509</v>
      </c>
      <c r="B57" s="20">
        <f>B53*B55</f>
        <v>514347.82608695608</v>
      </c>
      <c r="C57" s="20">
        <f>C53*C55</f>
        <v>514347.82608695608</v>
      </c>
    </row>
    <row r="58" spans="1:5">
      <c r="A58" s="45" t="s">
        <v>510</v>
      </c>
      <c r="B58" s="20">
        <f>B54*B55</f>
        <v>11830</v>
      </c>
      <c r="C58" s="20">
        <f>C54*C55</f>
        <v>11830</v>
      </c>
    </row>
    <row r="60" spans="1:5">
      <c r="A60" s="3" t="s">
        <v>497</v>
      </c>
    </row>
    <row r="61" spans="1:5">
      <c r="B61" s="103" t="s">
        <v>529</v>
      </c>
      <c r="C61" s="45" t="s">
        <v>530</v>
      </c>
      <c r="D61" s="45" t="s">
        <v>186</v>
      </c>
    </row>
    <row r="62" spans="1:5">
      <c r="A62" s="45" t="s">
        <v>494</v>
      </c>
      <c r="B62" s="20">
        <f>(B57-B58)</f>
        <v>502517.82608695608</v>
      </c>
      <c r="C62" s="20">
        <f>(C57-C58)</f>
        <v>502517.82608695608</v>
      </c>
    </row>
    <row r="63" spans="1:5">
      <c r="A63" s="45" t="s">
        <v>495</v>
      </c>
      <c r="B63">
        <f>B62/849.5*18*2.2046</f>
        <v>23474.178209586182</v>
      </c>
      <c r="C63">
        <f>C62/849.5*18*2.2046</f>
        <v>23474.178209586182</v>
      </c>
    </row>
    <row r="64" spans="1:5">
      <c r="A64" s="45" t="s">
        <v>496</v>
      </c>
    </row>
    <row r="65" spans="1:4">
      <c r="A65" s="91" t="s">
        <v>145</v>
      </c>
      <c r="B65">
        <f>B35/B63</f>
        <v>7.2403047878994717E-3</v>
      </c>
      <c r="C65">
        <f>C35/C63</f>
        <v>6.5916069600818888E-3</v>
      </c>
      <c r="D65">
        <f>AVERAGE(B65:C65)</f>
        <v>6.9159558739906798E-3</v>
      </c>
    </row>
    <row r="66" spans="1:4">
      <c r="A66" s="91" t="s">
        <v>146</v>
      </c>
      <c r="B66">
        <f>B36/B63</f>
        <v>5.8461276015011991E-4</v>
      </c>
      <c r="C66">
        <f>C36/C63</f>
        <v>5.3556806550665353E-4</v>
      </c>
      <c r="D66">
        <f t="shared" ref="D66:D71" si="2">AVERAGE(B66:C66)</f>
        <v>5.6009041282838678E-4</v>
      </c>
    </row>
    <row r="67" spans="1:4">
      <c r="A67" s="91" t="s">
        <v>193</v>
      </c>
      <c r="B67">
        <f>B34/B63</f>
        <v>1.9225520300238845E-4</v>
      </c>
      <c r="C67">
        <f>C34/C63</f>
        <v>1.8917911975435025E-4</v>
      </c>
      <c r="D67">
        <f t="shared" si="2"/>
        <v>1.9071716137836935E-4</v>
      </c>
    </row>
    <row r="68" spans="1:4">
      <c r="A68" s="91" t="s">
        <v>52</v>
      </c>
      <c r="B68">
        <f>B37/B63</f>
        <v>3.8662913681337468E-5</v>
      </c>
      <c r="C68">
        <f>C37/C63</f>
        <v>4.0091095189355204E-5</v>
      </c>
      <c r="D68">
        <f t="shared" si="2"/>
        <v>3.9377004435346336E-5</v>
      </c>
    </row>
    <row r="69" spans="1:4">
      <c r="A69" s="91" t="s">
        <v>54</v>
      </c>
      <c r="B69">
        <f>B38/B63</f>
        <v>5.5468895712498636E-5</v>
      </c>
      <c r="C69">
        <f>C38/C63</f>
        <v>5.7875355396338048E-5</v>
      </c>
      <c r="D69">
        <f t="shared" si="2"/>
        <v>5.6672125554418345E-5</v>
      </c>
    </row>
    <row r="70" spans="1:4">
      <c r="A70" s="92" t="s">
        <v>339</v>
      </c>
      <c r="B70">
        <f>B39/B63</f>
        <v>2.0517684521778709E-6</v>
      </c>
      <c r="C70">
        <f>C39/C63</f>
        <v>1.760639144774254E-6</v>
      </c>
      <c r="D70">
        <f t="shared" si="2"/>
        <v>1.9062037984760624E-6</v>
      </c>
    </row>
    <row r="71" spans="1:4">
      <c r="A71" s="91" t="s">
        <v>167</v>
      </c>
      <c r="B71">
        <f>B40/B63</f>
        <v>2.6770032980780192E-5</v>
      </c>
      <c r="C71">
        <f>C40/C63</f>
        <v>2.7130478789946569E-5</v>
      </c>
      <c r="D71">
        <f t="shared" si="2"/>
        <v>2.6950255885363379E-5</v>
      </c>
    </row>
    <row r="72" spans="1:4">
      <c r="A72" s="91" t="s">
        <v>168</v>
      </c>
      <c r="B72" s="13"/>
    </row>
    <row r="73" spans="1:4">
      <c r="A73" s="93" t="s">
        <v>78</v>
      </c>
      <c r="B73" s="96" t="s">
        <v>407</v>
      </c>
    </row>
    <row r="74" spans="1:4">
      <c r="A74" s="93" t="s">
        <v>56</v>
      </c>
      <c r="B74" s="96" t="s">
        <v>407</v>
      </c>
    </row>
    <row r="75" spans="1:4">
      <c r="A75" s="93" t="s">
        <v>87</v>
      </c>
      <c r="B75" s="96" t="s">
        <v>407</v>
      </c>
    </row>
    <row r="76" spans="1:4">
      <c r="A76" s="93" t="s">
        <v>74</v>
      </c>
      <c r="B76" s="96" t="s">
        <v>407</v>
      </c>
    </row>
    <row r="77" spans="1:4">
      <c r="A77" s="94" t="s">
        <v>76</v>
      </c>
      <c r="B77" s="96" t="s">
        <v>407</v>
      </c>
    </row>
    <row r="78" spans="1:4">
      <c r="A78" s="93" t="s">
        <v>179</v>
      </c>
      <c r="B78" s="96" t="s">
        <v>407</v>
      </c>
    </row>
    <row r="79" spans="1:4">
      <c r="A79" s="93"/>
      <c r="B79" s="95"/>
    </row>
    <row r="80" spans="1:4">
      <c r="A80" s="93" t="s">
        <v>88</v>
      </c>
      <c r="B80" s="96" t="s">
        <v>407</v>
      </c>
    </row>
    <row r="81" spans="1:2">
      <c r="A81" s="93" t="s">
        <v>189</v>
      </c>
      <c r="B81" s="96" t="s">
        <v>407</v>
      </c>
    </row>
    <row r="82" spans="1:2">
      <c r="A82" s="93"/>
      <c r="B82" s="95"/>
    </row>
    <row r="83" spans="1:2">
      <c r="A83" s="93" t="s">
        <v>184</v>
      </c>
      <c r="B83" s="95">
        <f>SUM(B32:B33)/B63</f>
        <v>1.8871800156100522E-4</v>
      </c>
    </row>
    <row r="84" spans="1:2">
      <c r="A84" s="93" t="s">
        <v>183</v>
      </c>
      <c r="B84" s="95">
        <f>B32/B63</f>
        <v>1.6060200132844013E-4</v>
      </c>
    </row>
    <row r="85" spans="1:2">
      <c r="A85" s="94" t="s">
        <v>142</v>
      </c>
      <c r="B85" s="95">
        <f>B33/B63</f>
        <v>2.8116000232565113E-5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topLeftCell="A40" workbookViewId="0">
      <selection activeCell="G8" sqref="G8"/>
    </sheetView>
  </sheetViews>
  <sheetFormatPr defaultRowHeight="12.75"/>
  <cols>
    <col min="1" max="1" width="36.85546875" customWidth="1"/>
    <col min="2" max="2" width="12.42578125" bestFit="1" customWidth="1"/>
    <col min="4" max="4" width="9.28515625" bestFit="1" customWidth="1"/>
  </cols>
  <sheetData>
    <row r="1" spans="1:4" ht="15.75">
      <c r="A1" s="45" t="s">
        <v>519</v>
      </c>
      <c r="C1" s="5" t="s">
        <v>521</v>
      </c>
    </row>
    <row r="2" spans="1:4">
      <c r="A2" s="45" t="s">
        <v>520</v>
      </c>
      <c r="C2" s="45" t="s">
        <v>516</v>
      </c>
    </row>
    <row r="3" spans="1:4">
      <c r="C3" s="45" t="s">
        <v>157</v>
      </c>
      <c r="D3" s="102" t="s">
        <v>522</v>
      </c>
    </row>
    <row r="4" spans="1:4">
      <c r="A4" s="2" t="s">
        <v>1</v>
      </c>
      <c r="B4" s="2" t="s">
        <v>2</v>
      </c>
    </row>
    <row r="5" spans="1:4">
      <c r="A5" t="s">
        <v>10</v>
      </c>
      <c r="B5" s="45"/>
    </row>
    <row r="6" spans="1:4">
      <c r="A6" t="s">
        <v>11</v>
      </c>
    </row>
    <row r="7" spans="1:4">
      <c r="A7" t="s">
        <v>113</v>
      </c>
      <c r="B7">
        <v>82</v>
      </c>
      <c r="C7">
        <v>82</v>
      </c>
    </row>
    <row r="8" spans="1:4">
      <c r="A8" s="45" t="s">
        <v>523</v>
      </c>
      <c r="B8">
        <v>23</v>
      </c>
      <c r="C8">
        <v>23</v>
      </c>
      <c r="D8" s="9"/>
    </row>
    <row r="9" spans="1:4">
      <c r="A9" t="s">
        <v>3</v>
      </c>
    </row>
    <row r="10" spans="1:4">
      <c r="A10" t="s">
        <v>4</v>
      </c>
    </row>
    <row r="11" spans="1:4">
      <c r="A11" t="s">
        <v>5</v>
      </c>
    </row>
    <row r="12" spans="1:4">
      <c r="A12" t="s">
        <v>6</v>
      </c>
    </row>
    <row r="13" spans="1:4">
      <c r="A13" t="s">
        <v>7</v>
      </c>
      <c r="D13" s="9"/>
    </row>
    <row r="14" spans="1:4">
      <c r="A14" t="s">
        <v>8</v>
      </c>
    </row>
    <row r="15" spans="1:4">
      <c r="A15" t="s">
        <v>9</v>
      </c>
    </row>
    <row r="18" spans="1:5">
      <c r="B18" s="45" t="s">
        <v>529</v>
      </c>
      <c r="C18" s="45" t="s">
        <v>530</v>
      </c>
      <c r="D18" s="45"/>
    </row>
    <row r="19" spans="1:5">
      <c r="A19" t="s">
        <v>18</v>
      </c>
      <c r="B19" s="1"/>
      <c r="C19" s="1"/>
      <c r="D19" s="1"/>
      <c r="E19" s="1"/>
    </row>
    <row r="20" spans="1:5">
      <c r="A20" t="s">
        <v>112</v>
      </c>
    </row>
    <row r="21" spans="1:5">
      <c r="A21" t="s">
        <v>23</v>
      </c>
      <c r="B21">
        <v>12.5</v>
      </c>
      <c r="C21">
        <v>12.5</v>
      </c>
    </row>
    <row r="22" spans="1:5">
      <c r="A22" t="s">
        <v>158</v>
      </c>
      <c r="B22">
        <v>29083</v>
      </c>
      <c r="C22">
        <v>29083</v>
      </c>
    </row>
    <row r="23" spans="1:5">
      <c r="A23" t="s">
        <v>160</v>
      </c>
    </row>
    <row r="24" spans="1:5">
      <c r="A24" t="s">
        <v>24</v>
      </c>
    </row>
    <row r="25" spans="1:5">
      <c r="A25" t="s">
        <v>115</v>
      </c>
    </row>
    <row r="27" spans="1:5">
      <c r="A27" t="s">
        <v>31</v>
      </c>
      <c r="B27">
        <v>61.45</v>
      </c>
      <c r="C27">
        <v>61.45</v>
      </c>
    </row>
    <row r="31" spans="1:5">
      <c r="A31" t="s">
        <v>140</v>
      </c>
      <c r="B31" t="s">
        <v>143</v>
      </c>
    </row>
    <row r="32" spans="1:5">
      <c r="A32" t="s">
        <v>141</v>
      </c>
      <c r="B32">
        <v>0.04</v>
      </c>
      <c r="C32">
        <v>0.04</v>
      </c>
    </row>
    <row r="33" spans="1:5">
      <c r="A33" t="s">
        <v>142</v>
      </c>
      <c r="B33">
        <v>11.2</v>
      </c>
      <c r="C33">
        <v>11.2</v>
      </c>
    </row>
    <row r="34" spans="1:5">
      <c r="A34" s="45" t="s">
        <v>249</v>
      </c>
      <c r="B34">
        <f>B44*B$58/1000000/849.5*14.7*2.2046</f>
        <v>23.676255635668038</v>
      </c>
      <c r="C34">
        <f>C44*C$58/1000000/849.5*14.7*2.2046</f>
        <v>34.119558725721006</v>
      </c>
    </row>
    <row r="35" spans="1:5">
      <c r="A35" t="s">
        <v>145</v>
      </c>
      <c r="B35">
        <f>B45*B$58/1000000/849.5*16*2.2046</f>
        <v>7.4351724543849329</v>
      </c>
      <c r="C35">
        <f>C45*C$58/1000000/849.5*16*2.2046</f>
        <v>11.87291936433196</v>
      </c>
    </row>
    <row r="36" spans="1:5">
      <c r="A36" t="s">
        <v>146</v>
      </c>
      <c r="B36">
        <f>B46*B$58/1000000/849.5*15*2.2046</f>
        <v>5.0727534579164217</v>
      </c>
      <c r="C36">
        <f>C46*C$58/1000000/849.5*15*2.2046</f>
        <v>8.1747969393761029</v>
      </c>
    </row>
    <row r="37" spans="1:5">
      <c r="A37" t="s">
        <v>52</v>
      </c>
      <c r="B37">
        <f>B47*B$58/1000000/849.5*78*2.2046</f>
        <v>0.21444244114184813</v>
      </c>
      <c r="C37">
        <f>C47*C$58/1000000/849.5*78*2.2046</f>
        <v>0.27516950412007068</v>
      </c>
    </row>
    <row r="38" spans="1:5">
      <c r="A38" t="s">
        <v>54</v>
      </c>
      <c r="B38">
        <f>B48*B$58/1000000/849.5*92*2.2046</f>
        <v>0.10609718599175988</v>
      </c>
      <c r="C38">
        <f>C48*C$58/1000000/849.5*92*2.2046</f>
        <v>0.1190795420835786</v>
      </c>
    </row>
    <row r="39" spans="1:5">
      <c r="A39" t="s">
        <v>147</v>
      </c>
      <c r="B39">
        <f>B49*B$58/1000000/849.5*106*2.2046</f>
        <v>5.3900134343731615E-3</v>
      </c>
      <c r="C39">
        <f>C49*C$58/1000000/849.5*106*2.2046</f>
        <v>5.0031703649205412E-3</v>
      </c>
    </row>
    <row r="40" spans="1:5">
      <c r="A40" t="s">
        <v>148</v>
      </c>
      <c r="B40">
        <f>B50*B$58/1000000/849.5*106*2.2046</f>
        <v>3.5847457769276045E-2</v>
      </c>
      <c r="C40">
        <f>C50*C$58/1000000/849.5*106*2.2046</f>
        <v>3.4635349484991175E-2</v>
      </c>
    </row>
    <row r="42" spans="1:5">
      <c r="B42" s="45" t="s">
        <v>531</v>
      </c>
      <c r="D42" s="45"/>
    </row>
    <row r="43" spans="1:5">
      <c r="A43" t="s">
        <v>140</v>
      </c>
      <c r="B43" t="s">
        <v>149</v>
      </c>
      <c r="D43" t="s">
        <v>180</v>
      </c>
    </row>
    <row r="44" spans="1:5">
      <c r="A44" t="s">
        <v>159</v>
      </c>
      <c r="B44">
        <v>662000</v>
      </c>
      <c r="C44">
        <v>954000</v>
      </c>
      <c r="D44">
        <f>B44*(1-$B$27/100)</f>
        <v>255200.99999999997</v>
      </c>
      <c r="E44">
        <f>C44*(1-$C$27/100)</f>
        <v>367766.99999999994</v>
      </c>
    </row>
    <row r="45" spans="1:5">
      <c r="A45" t="s">
        <v>145</v>
      </c>
      <c r="B45">
        <v>191000</v>
      </c>
      <c r="C45">
        <v>305000</v>
      </c>
      <c r="D45">
        <f t="shared" ref="D45:D50" si="0">B45*(1-$B$27/100)</f>
        <v>73630.499999999985</v>
      </c>
      <c r="E45">
        <f t="shared" ref="E45:E50" si="1">C45*(1-$C$27/100)</f>
        <v>117577.49999999999</v>
      </c>
    </row>
    <row r="46" spans="1:5">
      <c r="A46" t="s">
        <v>195</v>
      </c>
      <c r="B46">
        <v>139000</v>
      </c>
      <c r="C46">
        <v>224000</v>
      </c>
      <c r="D46">
        <f t="shared" si="0"/>
        <v>53584.499999999993</v>
      </c>
      <c r="E46">
        <f t="shared" si="1"/>
        <v>86351.999999999985</v>
      </c>
    </row>
    <row r="47" spans="1:5">
      <c r="A47" t="s">
        <v>52</v>
      </c>
      <c r="B47">
        <v>1130</v>
      </c>
      <c r="C47">
        <v>1450</v>
      </c>
      <c r="D47">
        <f t="shared" si="0"/>
        <v>435.61499999999995</v>
      </c>
      <c r="E47">
        <f t="shared" si="1"/>
        <v>558.97499999999991</v>
      </c>
    </row>
    <row r="48" spans="1:5">
      <c r="A48" t="s">
        <v>54</v>
      </c>
      <c r="B48">
        <v>474</v>
      </c>
      <c r="C48">
        <v>532</v>
      </c>
      <c r="D48">
        <f t="shared" si="0"/>
        <v>182.72699999999998</v>
      </c>
      <c r="E48">
        <f t="shared" si="1"/>
        <v>205.08599999999998</v>
      </c>
    </row>
    <row r="49" spans="1:5">
      <c r="A49" t="s">
        <v>147</v>
      </c>
      <c r="B49">
        <v>20.9</v>
      </c>
      <c r="C49">
        <v>19.399999999999999</v>
      </c>
      <c r="D49">
        <f t="shared" si="0"/>
        <v>8.0569499999999987</v>
      </c>
      <c r="E49">
        <f t="shared" si="1"/>
        <v>7.4786999999999981</v>
      </c>
    </row>
    <row r="50" spans="1:5">
      <c r="A50" t="s">
        <v>148</v>
      </c>
      <c r="B50">
        <f>48.3+90.7</f>
        <v>139</v>
      </c>
      <c r="C50">
        <f>48.4+85.9</f>
        <v>134.30000000000001</v>
      </c>
      <c r="D50">
        <f t="shared" si="0"/>
        <v>53.584499999999991</v>
      </c>
      <c r="E50">
        <f t="shared" si="1"/>
        <v>51.772649999999999</v>
      </c>
    </row>
    <row r="53" spans="1:5">
      <c r="A53" t="s">
        <v>190</v>
      </c>
      <c r="B53">
        <f>B54/(1-B27/100)</f>
        <v>194.5525291828794</v>
      </c>
      <c r="C53">
        <f>C54/(1-C27/100)</f>
        <v>194.5525291828794</v>
      </c>
    </row>
    <row r="54" spans="1:5">
      <c r="A54" t="s">
        <v>191</v>
      </c>
      <c r="B54">
        <v>75</v>
      </c>
      <c r="C54">
        <v>75</v>
      </c>
    </row>
    <row r="55" spans="1:5">
      <c r="A55" t="s">
        <v>192</v>
      </c>
      <c r="B55">
        <v>12.5</v>
      </c>
      <c r="C55">
        <v>12.5</v>
      </c>
    </row>
    <row r="57" spans="1:5">
      <c r="A57" s="45" t="s">
        <v>509</v>
      </c>
      <c r="B57" s="20">
        <f>B53*B55</f>
        <v>2431.9066147859926</v>
      </c>
      <c r="C57" s="20">
        <f>C53*C55</f>
        <v>2431.9066147859926</v>
      </c>
    </row>
    <row r="58" spans="1:5">
      <c r="A58" s="45" t="s">
        <v>510</v>
      </c>
      <c r="B58" s="20">
        <f>B54*B55</f>
        <v>937.5</v>
      </c>
      <c r="C58" s="20">
        <f>C54*C55</f>
        <v>937.5</v>
      </c>
    </row>
    <row r="60" spans="1:5">
      <c r="A60" s="3" t="s">
        <v>497</v>
      </c>
    </row>
    <row r="61" spans="1:5">
      <c r="B61" s="103" t="s">
        <v>529</v>
      </c>
      <c r="C61" s="45" t="s">
        <v>530</v>
      </c>
      <c r="D61" s="45" t="s">
        <v>186</v>
      </c>
    </row>
    <row r="62" spans="1:5">
      <c r="A62" s="45" t="s">
        <v>494</v>
      </c>
      <c r="B62" s="20">
        <f>(B57-B58)</f>
        <v>1494.4066147859926</v>
      </c>
      <c r="C62" s="20">
        <f>(C57-C58)</f>
        <v>1494.4066147859926</v>
      </c>
    </row>
    <row r="63" spans="1:5">
      <c r="A63" s="45" t="s">
        <v>495</v>
      </c>
      <c r="B63">
        <f>B62/849.5*18*2.2046</f>
        <v>69.808403547062497</v>
      </c>
      <c r="C63">
        <f>C62/849.5*18*2.2046</f>
        <v>69.808403547062497</v>
      </c>
    </row>
    <row r="64" spans="1:5">
      <c r="A64" s="45" t="s">
        <v>496</v>
      </c>
    </row>
    <row r="65" spans="1:4">
      <c r="A65" s="91" t="s">
        <v>145</v>
      </c>
      <c r="B65">
        <f>B35/B63</f>
        <v>0.10650827230810955</v>
      </c>
      <c r="C65">
        <f>C35/C63</f>
        <v>0.17007865473284509</v>
      </c>
      <c r="D65">
        <f>AVERAGE(B65:C65)</f>
        <v>0.13829346352047733</v>
      </c>
    </row>
    <row r="66" spans="1:4">
      <c r="A66" s="91" t="s">
        <v>146</v>
      </c>
      <c r="B66">
        <f>B36/B63</f>
        <v>7.2666802278275003E-2</v>
      </c>
      <c r="C66">
        <f>C36/C63</f>
        <v>0.11710333604556546</v>
      </c>
      <c r="D66">
        <f t="shared" ref="D66:D71" si="2">AVERAGE(B66:C66)</f>
        <v>9.488506916192023E-2</v>
      </c>
    </row>
    <row r="67" spans="1:4">
      <c r="A67" s="91" t="s">
        <v>193</v>
      </c>
      <c r="B67">
        <f>B34/B63</f>
        <v>0.33916053702196897</v>
      </c>
      <c r="C67">
        <f>C34/C63</f>
        <v>0.48876004882017876</v>
      </c>
      <c r="D67">
        <f t="shared" si="2"/>
        <v>0.41396029292107384</v>
      </c>
    </row>
    <row r="68" spans="1:4">
      <c r="A68" s="91" t="s">
        <v>52</v>
      </c>
      <c r="B68">
        <f>B37/B63</f>
        <v>3.0718714401952794E-3</v>
      </c>
      <c r="C68">
        <f>C37/C63</f>
        <v>3.9417819365337664E-3</v>
      </c>
      <c r="D68">
        <f t="shared" si="2"/>
        <v>3.5068266883645227E-3</v>
      </c>
    </row>
    <row r="69" spans="1:4">
      <c r="A69" s="91" t="s">
        <v>54</v>
      </c>
      <c r="B69">
        <f>B38/B63</f>
        <v>1.5198340113913749E-3</v>
      </c>
      <c r="C69">
        <f>C38/C63</f>
        <v>1.705805261730404E-3</v>
      </c>
      <c r="D69">
        <f t="shared" si="2"/>
        <v>1.6128196365608894E-3</v>
      </c>
    </row>
    <row r="70" spans="1:4">
      <c r="A70" s="92" t="s">
        <v>339</v>
      </c>
      <c r="B70">
        <f>B39/B63</f>
        <v>7.7211526986710051E-5</v>
      </c>
      <c r="C70">
        <f>C39/C63</f>
        <v>7.167002983455381E-5</v>
      </c>
      <c r="D70">
        <f t="shared" si="2"/>
        <v>7.4440778410631931E-5</v>
      </c>
    </row>
    <row r="71" spans="1:4">
      <c r="A71" s="91" t="s">
        <v>167</v>
      </c>
      <c r="B71">
        <f>B40/B63</f>
        <v>5.135120694331433E-4</v>
      </c>
      <c r="C71">
        <f>C40/C63</f>
        <v>4.9614871168972058E-4</v>
      </c>
      <c r="D71">
        <f t="shared" si="2"/>
        <v>5.0483039056143189E-4</v>
      </c>
    </row>
    <row r="72" spans="1:4">
      <c r="A72" s="91" t="s">
        <v>168</v>
      </c>
      <c r="B72" s="13"/>
    </row>
    <row r="73" spans="1:4">
      <c r="A73" s="93" t="s">
        <v>78</v>
      </c>
      <c r="B73" s="96" t="s">
        <v>407</v>
      </c>
    </row>
    <row r="74" spans="1:4">
      <c r="A74" s="93" t="s">
        <v>56</v>
      </c>
      <c r="B74" s="96" t="s">
        <v>407</v>
      </c>
    </row>
    <row r="75" spans="1:4">
      <c r="A75" s="93" t="s">
        <v>87</v>
      </c>
      <c r="B75" s="96" t="s">
        <v>407</v>
      </c>
    </row>
    <row r="76" spans="1:4">
      <c r="A76" s="93" t="s">
        <v>74</v>
      </c>
      <c r="B76" s="96" t="s">
        <v>407</v>
      </c>
    </row>
    <row r="77" spans="1:4">
      <c r="A77" s="94" t="s">
        <v>76</v>
      </c>
      <c r="B77" s="96" t="s">
        <v>407</v>
      </c>
    </row>
    <row r="78" spans="1:4">
      <c r="A78" s="93" t="s">
        <v>179</v>
      </c>
      <c r="B78" s="96" t="s">
        <v>407</v>
      </c>
    </row>
    <row r="79" spans="1:4">
      <c r="A79" s="93"/>
      <c r="B79" s="95"/>
    </row>
    <row r="80" spans="1:4">
      <c r="A80" s="93" t="s">
        <v>88</v>
      </c>
      <c r="B80" s="96" t="s">
        <v>407</v>
      </c>
    </row>
    <row r="81" spans="1:2">
      <c r="A81" s="93" t="s">
        <v>189</v>
      </c>
      <c r="B81" s="96" t="s">
        <v>407</v>
      </c>
    </row>
    <row r="82" spans="1:2">
      <c r="A82" s="93"/>
      <c r="B82" s="95"/>
    </row>
    <row r="83" spans="1:2">
      <c r="A83" s="93" t="s">
        <v>184</v>
      </c>
      <c r="B83" s="95">
        <f>SUM(B32:B33)/B63</f>
        <v>0.16101213362403233</v>
      </c>
    </row>
    <row r="84" spans="1:2">
      <c r="A84" s="93" t="s">
        <v>183</v>
      </c>
      <c r="B84" s="95">
        <f>B32/B63</f>
        <v>5.72996916811503E-4</v>
      </c>
    </row>
    <row r="85" spans="1:2">
      <c r="A85" s="94" t="s">
        <v>142</v>
      </c>
      <c r="B85" s="95">
        <f>B33/B63</f>
        <v>0.16043913670722082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92"/>
  <sheetViews>
    <sheetView topLeftCell="A37" workbookViewId="0">
      <selection activeCell="R61" sqref="R61"/>
    </sheetView>
  </sheetViews>
  <sheetFormatPr defaultRowHeight="12.75"/>
  <cols>
    <col min="1" max="1" width="21.5703125" customWidth="1"/>
    <col min="2" max="2" width="8.7109375" customWidth="1"/>
    <col min="3" max="3" width="9.5703125" bestFit="1" customWidth="1"/>
    <col min="4" max="4" width="9.42578125" bestFit="1" customWidth="1"/>
    <col min="5" max="6" width="9.5703125" bestFit="1" customWidth="1"/>
    <col min="7" max="7" width="12.42578125" bestFit="1" customWidth="1"/>
    <col min="8" max="8" width="10.5703125" bestFit="1" customWidth="1"/>
    <col min="9" max="9" width="11.140625" customWidth="1"/>
    <col min="10" max="10" width="9.5703125" customWidth="1"/>
    <col min="11" max="11" width="12.5703125" customWidth="1"/>
    <col min="12" max="12" width="10.85546875" customWidth="1"/>
    <col min="13" max="13" width="12.28515625" customWidth="1"/>
    <col min="14" max="14" width="3.42578125" customWidth="1"/>
    <col min="15" max="16" width="9.5703125" bestFit="1" customWidth="1"/>
    <col min="18" max="18" width="10.5703125" bestFit="1" customWidth="1"/>
    <col min="19" max="19" width="11.5703125" bestFit="1" customWidth="1"/>
  </cols>
  <sheetData>
    <row r="1" spans="1:24">
      <c r="A1" s="3" t="s">
        <v>408</v>
      </c>
      <c r="O1" t="s">
        <v>187</v>
      </c>
      <c r="P1" t="s">
        <v>188</v>
      </c>
      <c r="R1" s="45" t="s">
        <v>413</v>
      </c>
      <c r="S1" s="45" t="s">
        <v>413</v>
      </c>
      <c r="V1" t="s">
        <v>204</v>
      </c>
    </row>
    <row r="2" spans="1:24">
      <c r="B2" t="s">
        <v>169</v>
      </c>
      <c r="C2" t="s">
        <v>170</v>
      </c>
      <c r="D2" t="s">
        <v>171</v>
      </c>
      <c r="E2" t="s">
        <v>172</v>
      </c>
      <c r="F2" t="s">
        <v>173</v>
      </c>
      <c r="G2" t="s">
        <v>174</v>
      </c>
      <c r="H2" t="s">
        <v>398</v>
      </c>
      <c r="I2" t="s">
        <v>399</v>
      </c>
      <c r="J2" t="s">
        <v>400</v>
      </c>
      <c r="K2" t="s">
        <v>401</v>
      </c>
      <c r="L2" t="s">
        <v>203</v>
      </c>
      <c r="M2" t="s">
        <v>402</v>
      </c>
      <c r="O2" t="s">
        <v>205</v>
      </c>
      <c r="R2">
        <v>0.98</v>
      </c>
      <c r="S2">
        <v>0.99</v>
      </c>
      <c r="U2" t="s">
        <v>201</v>
      </c>
      <c r="V2">
        <v>263</v>
      </c>
      <c r="W2" t="s">
        <v>202</v>
      </c>
      <c r="X2">
        <f>V2/32*24*2*365/2000</f>
        <v>71.996250000000003</v>
      </c>
    </row>
    <row r="3" spans="1:24">
      <c r="A3" t="s">
        <v>145</v>
      </c>
      <c r="B3" s="14">
        <f>Hovensa!G42</f>
        <v>8704</v>
      </c>
      <c r="C3" s="14">
        <f>Shell!D44</f>
        <v>11289.599999999997</v>
      </c>
      <c r="D3" s="14">
        <f>ConocoPhillips!D44</f>
        <v>8397.0000000000036</v>
      </c>
      <c r="E3" s="14">
        <f>Chevron!D44</f>
        <v>3179.700000000003</v>
      </c>
      <c r="F3" s="14">
        <f>ExM_Torrance!D44</f>
        <v>8634.5999999999913</v>
      </c>
      <c r="G3" s="14">
        <f>Citgo!E7</f>
        <v>5619.5</v>
      </c>
      <c r="H3" s="56">
        <f>Marathon!AD50</f>
        <v>14126.9480485841</v>
      </c>
      <c r="I3" s="14">
        <f>Houston1!V52</f>
        <v>15246.111111111111</v>
      </c>
      <c r="J3" s="14">
        <f>Houston2!F41</f>
        <v>53175.333333333336</v>
      </c>
      <c r="K3" s="57"/>
      <c r="L3" s="56" t="s">
        <v>407</v>
      </c>
      <c r="M3" s="56">
        <f>ExM_Baytown!F62*(1-ExM_Baytown!F28/100)</f>
        <v>8467.052999999918</v>
      </c>
      <c r="O3" s="14">
        <f>AVERAGE(B3:M3)</f>
        <v>13683.984549302846</v>
      </c>
      <c r="P3" s="14">
        <f>STDEV(B3:M3)</f>
        <v>14332.469656149704</v>
      </c>
      <c r="Q3" s="14">
        <f>P3/O3</f>
        <v>1.0473900788553503</v>
      </c>
      <c r="R3" s="14">
        <f>$O3/(1-R$2)</f>
        <v>684199.22746514168</v>
      </c>
      <c r="S3" s="14">
        <f>$O3/(1-S$2)</f>
        <v>1368398.4549302834</v>
      </c>
      <c r="U3" t="s">
        <v>203</v>
      </c>
      <c r="V3">
        <v>320</v>
      </c>
      <c r="W3" t="s">
        <v>202</v>
      </c>
      <c r="X3">
        <f>V3/32*24*2*365/2000</f>
        <v>87.6</v>
      </c>
    </row>
    <row r="4" spans="1:24">
      <c r="A4" t="s">
        <v>146</v>
      </c>
      <c r="B4" s="14">
        <f>Hovensa!G45</f>
        <v>990.83333333333337</v>
      </c>
      <c r="C4" s="14">
        <f>Shell!D45/2</f>
        <v>1343.9999999999995</v>
      </c>
      <c r="D4" s="14">
        <f>ConocoPhillips!D45/2</f>
        <v>2061.9300000000012</v>
      </c>
      <c r="E4" s="14">
        <f>Chevron!D45/2</f>
        <v>342.75150000000031</v>
      </c>
      <c r="F4" s="14">
        <f>ExM_Torrance!D45/2</f>
        <v>827.18999999999915</v>
      </c>
      <c r="G4" s="14">
        <f>Citgo!E9</f>
        <v>768</v>
      </c>
      <c r="H4" s="56">
        <f>Marathon!AD51</f>
        <v>1781.7641990946504</v>
      </c>
      <c r="I4" s="14">
        <f>Houston1!V53</f>
        <v>1714.4555555555557</v>
      </c>
      <c r="J4" s="14">
        <f>Houston2!F42</f>
        <v>4294.333333333333</v>
      </c>
      <c r="K4" s="57"/>
      <c r="L4" s="56" t="s">
        <v>407</v>
      </c>
      <c r="M4" s="56">
        <f>ExM_Baytown!F63*(1-ExM_Baytown!F28/100)</f>
        <v>1238.383999999988</v>
      </c>
      <c r="O4" s="14">
        <f t="shared" ref="O4:O9" si="0">AVERAGE(B4:M4)</f>
        <v>1536.364192131686</v>
      </c>
      <c r="P4" s="14">
        <f t="shared" ref="P4:P9" si="1">STDEV(B4:M4)</f>
        <v>1101.3110278177385</v>
      </c>
      <c r="Q4" s="14">
        <f t="shared" ref="Q4:Q21" si="2">P4/O4</f>
        <v>0.71682940376896143</v>
      </c>
      <c r="R4" s="14">
        <f t="shared" ref="R4:S9" si="3">$O4/(1-R$2)</f>
        <v>76818.209606584234</v>
      </c>
      <c r="S4" s="14">
        <f t="shared" si="3"/>
        <v>153636.41921316847</v>
      </c>
    </row>
    <row r="5" spans="1:24">
      <c r="A5" t="s">
        <v>193</v>
      </c>
      <c r="B5" s="14">
        <f>Hovensa!G48</f>
        <v>741.16666666666663</v>
      </c>
      <c r="C5" s="14">
        <f>Shell!D43/3</f>
        <v>654.07999999999981</v>
      </c>
      <c r="D5" s="14">
        <f>ConocoPhillips!D43/3</f>
        <v>945.44000000000051</v>
      </c>
      <c r="E5" s="14">
        <f>Chevron!D43/3</f>
        <v>197.71800000000019</v>
      </c>
      <c r="F5" s="14">
        <f>ExM_Torrance!D43/3</f>
        <v>348.65999999999963</v>
      </c>
      <c r="G5" s="14">
        <f>Citgo!E11</f>
        <v>2062</v>
      </c>
      <c r="H5" s="56">
        <f>Marathon!AD49</f>
        <v>1249.3432512673792</v>
      </c>
      <c r="I5" s="14">
        <f>Houston1!V51</f>
        <v>223.05555555555554</v>
      </c>
      <c r="J5" s="46"/>
      <c r="K5" s="57"/>
      <c r="L5" s="56" t="s">
        <v>407</v>
      </c>
      <c r="M5" s="46"/>
      <c r="O5" s="63">
        <f>AVERAGE(B5:M5)</f>
        <v>802.68293418620021</v>
      </c>
      <c r="P5" s="63">
        <f t="shared" si="1"/>
        <v>625.6104297385051</v>
      </c>
      <c r="Q5" s="14">
        <f t="shared" si="2"/>
        <v>0.77939919125448953</v>
      </c>
      <c r="R5" s="14">
        <f t="shared" si="3"/>
        <v>40134.146709309978</v>
      </c>
      <c r="S5" s="14">
        <f t="shared" si="3"/>
        <v>80268.293418619956</v>
      </c>
    </row>
    <row r="6" spans="1:24">
      <c r="A6" t="s">
        <v>52</v>
      </c>
      <c r="B6" s="89">
        <f>Hovensa!G54</f>
        <v>13.513838047698281</v>
      </c>
      <c r="C6" s="14">
        <f>Shell!D46</f>
        <v>9.5231999999999974</v>
      </c>
      <c r="D6" s="56" t="s">
        <v>407</v>
      </c>
      <c r="E6" s="46"/>
      <c r="F6" s="14">
        <f>ExM_Torrance!D46</f>
        <v>9.3014999999999901</v>
      </c>
      <c r="G6" s="56" t="s">
        <v>407</v>
      </c>
      <c r="H6" s="56">
        <f>Marathon!AD52</f>
        <v>9.3318308868843385</v>
      </c>
      <c r="I6" s="14">
        <f>Houston1!V57</f>
        <v>7.6011111111111127</v>
      </c>
      <c r="J6" s="56" t="s">
        <v>407</v>
      </c>
      <c r="K6" s="57"/>
      <c r="L6" s="56" t="s">
        <v>407</v>
      </c>
      <c r="M6" s="56">
        <f>ExM_Baytown!F64*(1-ExM_Baytown!F28/100)</f>
        <v>7.9519999999999236</v>
      </c>
      <c r="O6" s="14">
        <f t="shared" si="0"/>
        <v>9.5372466742822741</v>
      </c>
      <c r="P6" s="14">
        <f t="shared" si="1"/>
        <v>2.105843125098914</v>
      </c>
      <c r="Q6" s="14">
        <f t="shared" si="2"/>
        <v>0.22080199841925441</v>
      </c>
      <c r="R6" s="14">
        <f t="shared" si="3"/>
        <v>476.86233371411328</v>
      </c>
      <c r="S6" s="14">
        <f t="shared" si="3"/>
        <v>953.72466742822655</v>
      </c>
    </row>
    <row r="7" spans="1:24">
      <c r="A7" t="s">
        <v>54</v>
      </c>
      <c r="B7" s="14">
        <f>AVERAGE(Hovensa!C51:C53)</f>
        <v>32.333333333333336</v>
      </c>
      <c r="C7" s="14">
        <f>Shell!D47</f>
        <v>22.271999999999995</v>
      </c>
      <c r="D7" s="56" t="s">
        <v>407</v>
      </c>
      <c r="E7" s="46"/>
      <c r="F7" s="14">
        <f>ExM_Torrance!D47</f>
        <v>16.918199999999985</v>
      </c>
      <c r="G7" s="56" t="s">
        <v>407</v>
      </c>
      <c r="H7" s="56">
        <f>Marathon!AD53</f>
        <v>20.71166774503553</v>
      </c>
      <c r="I7" s="56" t="s">
        <v>407</v>
      </c>
      <c r="J7" s="56" t="s">
        <v>407</v>
      </c>
      <c r="K7" s="57"/>
      <c r="L7" s="56" t="s">
        <v>407</v>
      </c>
      <c r="M7" s="56">
        <f>ExM_Baytown!F67*(1-ExM_Baytown!F28/100)</f>
        <v>25.304999999999755</v>
      </c>
      <c r="O7" s="14">
        <f t="shared" si="0"/>
        <v>23.50804021567372</v>
      </c>
      <c r="P7" s="14">
        <f t="shared" si="1"/>
        <v>5.7855067097988853</v>
      </c>
      <c r="Q7" s="14">
        <f t="shared" si="2"/>
        <v>0.24610757241862569</v>
      </c>
      <c r="R7" s="14">
        <f t="shared" si="3"/>
        <v>1175.402010783685</v>
      </c>
      <c r="S7" s="14">
        <f t="shared" si="3"/>
        <v>2350.80402156737</v>
      </c>
    </row>
    <row r="8" spans="1:24">
      <c r="A8" s="45" t="s">
        <v>339</v>
      </c>
      <c r="B8" s="56" t="s">
        <v>407</v>
      </c>
      <c r="C8" s="14">
        <f>Shell!D48</f>
        <v>2.5190399999999991</v>
      </c>
      <c r="D8" s="56" t="s">
        <v>407</v>
      </c>
      <c r="E8" s="46"/>
      <c r="F8" s="14">
        <f>ExM_Torrance!D48</f>
        <v>0.97109999999999896</v>
      </c>
      <c r="G8" s="56" t="s">
        <v>407</v>
      </c>
      <c r="H8" s="56" t="s">
        <v>407</v>
      </c>
      <c r="I8" s="56" t="s">
        <v>407</v>
      </c>
      <c r="J8" s="56" t="s">
        <v>407</v>
      </c>
      <c r="K8" s="57"/>
      <c r="L8" s="56" t="s">
        <v>407</v>
      </c>
      <c r="M8" s="57"/>
      <c r="O8" s="63">
        <f>AVERAGE(B8:M8)</f>
        <v>1.745069999999999</v>
      </c>
      <c r="P8" s="63">
        <f t="shared" si="1"/>
        <v>1.0945588708699043</v>
      </c>
      <c r="Q8" s="14">
        <f t="shared" si="2"/>
        <v>0.62722920620370815</v>
      </c>
      <c r="R8" s="14">
        <f t="shared" si="3"/>
        <v>87.253499999999875</v>
      </c>
      <c r="S8" s="14">
        <f t="shared" si="3"/>
        <v>174.50699999999975</v>
      </c>
    </row>
    <row r="9" spans="1:24">
      <c r="A9" t="s">
        <v>167</v>
      </c>
      <c r="B9" s="46"/>
      <c r="C9" s="14">
        <f>Shell!D49</f>
        <v>19.737599999999993</v>
      </c>
      <c r="D9" s="56" t="s">
        <v>407</v>
      </c>
      <c r="E9" s="46"/>
      <c r="F9" s="14">
        <f>ExM_Torrance!D49</f>
        <v>9.6010199999999912</v>
      </c>
      <c r="G9" s="56" t="s">
        <v>407</v>
      </c>
      <c r="H9" s="56" t="s">
        <v>407</v>
      </c>
      <c r="I9" s="56" t="s">
        <v>407</v>
      </c>
      <c r="J9" s="56" t="s">
        <v>407</v>
      </c>
      <c r="K9" s="57"/>
      <c r="L9" s="56" t="s">
        <v>407</v>
      </c>
      <c r="M9" s="57"/>
      <c r="O9" s="14">
        <f t="shared" si="0"/>
        <v>14.669309999999992</v>
      </c>
      <c r="P9" s="14">
        <f t="shared" si="1"/>
        <v>7.1676444560399375</v>
      </c>
      <c r="Q9" s="14">
        <f t="shared" si="2"/>
        <v>0.48861496935029264</v>
      </c>
      <c r="R9" s="14">
        <f t="shared" si="3"/>
        <v>733.465499999999</v>
      </c>
      <c r="S9" s="14">
        <f t="shared" si="3"/>
        <v>1466.930999999998</v>
      </c>
    </row>
    <row r="10" spans="1:24">
      <c r="O10" s="14"/>
      <c r="P10" s="14"/>
      <c r="Q10" s="14"/>
      <c r="R10" s="14"/>
      <c r="S10" s="14"/>
    </row>
    <row r="11" spans="1:24">
      <c r="O11" s="14"/>
      <c r="P11" s="14"/>
      <c r="Q11" s="14"/>
      <c r="R11" s="14">
        <f>SUM(R3:R5)</f>
        <v>801151.58378103597</v>
      </c>
      <c r="S11" s="14">
        <f>SUM(S3:S5)</f>
        <v>1602303.1675620719</v>
      </c>
    </row>
    <row r="12" spans="1:24">
      <c r="P12" s="14"/>
      <c r="Q12" s="14"/>
    </row>
    <row r="13" spans="1:24">
      <c r="A13" s="3" t="s">
        <v>409</v>
      </c>
      <c r="O13" t="s">
        <v>187</v>
      </c>
      <c r="P13" t="s">
        <v>188</v>
      </c>
      <c r="Q13" s="14"/>
    </row>
    <row r="14" spans="1:24">
      <c r="B14" t="s">
        <v>169</v>
      </c>
      <c r="C14" t="s">
        <v>170</v>
      </c>
      <c r="D14" t="s">
        <v>171</v>
      </c>
      <c r="E14" t="s">
        <v>172</v>
      </c>
      <c r="F14" t="s">
        <v>173</v>
      </c>
      <c r="G14" t="s">
        <v>174</v>
      </c>
      <c r="H14" t="s">
        <v>398</v>
      </c>
      <c r="I14" t="s">
        <v>399</v>
      </c>
      <c r="J14" t="s">
        <v>400</v>
      </c>
      <c r="K14" t="s">
        <v>401</v>
      </c>
      <c r="L14" t="s">
        <v>203</v>
      </c>
      <c r="M14" t="s">
        <v>402</v>
      </c>
      <c r="O14" s="45" t="s">
        <v>491</v>
      </c>
      <c r="P14" s="14"/>
      <c r="Q14" s="14"/>
    </row>
    <row r="15" spans="1:24">
      <c r="A15" t="s">
        <v>145</v>
      </c>
      <c r="B15" s="9">
        <f>Hovensa!G43</f>
        <v>705668.64020422345</v>
      </c>
      <c r="C15" s="54">
        <f>Shell!B44</f>
        <v>147000</v>
      </c>
      <c r="D15" s="54">
        <f>ConocoPhillips!B44</f>
        <v>90000</v>
      </c>
      <c r="E15" s="54">
        <f>Chevron!B44</f>
        <v>353300</v>
      </c>
      <c r="F15" s="54">
        <f>ExM_Torrance!B44</f>
        <v>369000</v>
      </c>
      <c r="G15" s="54">
        <f>Citgo!E8</f>
        <v>233311</v>
      </c>
      <c r="H15" s="54">
        <f>Marathon!AH59</f>
        <v>1154440.5164333431</v>
      </c>
      <c r="I15" s="54">
        <f>Houston1!V65</f>
        <v>138894.08653231518</v>
      </c>
      <c r="J15" s="54">
        <f>Houston2!F47</f>
        <v>1006621.1338071421</v>
      </c>
      <c r="K15" s="53"/>
      <c r="L15" s="54">
        <f>BP_Husky!B52</f>
        <v>911333</v>
      </c>
      <c r="M15" s="54">
        <f>ExM_Baytown!F62</f>
        <v>403193</v>
      </c>
      <c r="O15" s="14">
        <f>AVERAGE(B15:M15)</f>
        <v>501160.12517972942</v>
      </c>
      <c r="P15" s="14">
        <f>STDEV(B15:M15)</f>
        <v>379304.62337527628</v>
      </c>
      <c r="Q15" s="14">
        <f>P15/O15</f>
        <v>0.75685315793878749</v>
      </c>
    </row>
    <row r="16" spans="1:24">
      <c r="A16" t="s">
        <v>146</v>
      </c>
      <c r="B16" s="9">
        <f>Hovensa!G46</f>
        <v>80330.883616998093</v>
      </c>
      <c r="C16" s="58">
        <f>Shell!B45/2</f>
        <v>17500</v>
      </c>
      <c r="D16" s="58">
        <f>ConocoPhillips!B45/2</f>
        <v>22100</v>
      </c>
      <c r="E16" s="54">
        <f>Chevron!B45/2</f>
        <v>38083.5</v>
      </c>
      <c r="F16" s="54">
        <f>ExM_Torrance!B45/2</f>
        <v>35350</v>
      </c>
      <c r="G16" s="54">
        <f>Citgo!E10</f>
        <v>32350</v>
      </c>
      <c r="H16" s="54">
        <f>Marathon!AH60</f>
        <v>146310.08560944183</v>
      </c>
      <c r="I16" s="54">
        <f>Houston1!V66</f>
        <v>18416.986622293553</v>
      </c>
      <c r="J16" s="54">
        <f>Houston2!F48</f>
        <v>82164.843547697878</v>
      </c>
      <c r="K16" s="53"/>
      <c r="L16" s="54">
        <f>BP_Husky!B53</f>
        <v>91433</v>
      </c>
      <c r="M16" s="54">
        <f>ExM_Baytown!F63</f>
        <v>58970.666666666664</v>
      </c>
      <c r="O16" s="14">
        <f t="shared" ref="O16:O21" si="4">AVERAGE(B16:M16)</f>
        <v>56637.269642099811</v>
      </c>
      <c r="P16" s="14">
        <f t="shared" ref="P16:P21" si="5">STDEV(B16:M16)</f>
        <v>40053.771952118666</v>
      </c>
      <c r="Q16" s="14">
        <f t="shared" si="2"/>
        <v>0.70719814364684275</v>
      </c>
    </row>
    <row r="17" spans="1:17">
      <c r="A17" t="s">
        <v>193</v>
      </c>
      <c r="B17" s="9">
        <f>Hovensa!G49</f>
        <v>60089.392673640119</v>
      </c>
      <c r="C17" s="58">
        <f>Shell!B43/3</f>
        <v>8516.6666666666661</v>
      </c>
      <c r="D17" s="58">
        <f>ConocoPhillips!B43/3</f>
        <v>10133.333333333334</v>
      </c>
      <c r="E17" s="54">
        <f>Chevron!B43/3</f>
        <v>21968.666666666668</v>
      </c>
      <c r="F17" s="54">
        <f>ExM_Torrance!B43/3</f>
        <v>14900</v>
      </c>
      <c r="G17" s="54">
        <f>Citgo!E12</f>
        <v>106703</v>
      </c>
      <c r="H17" s="54">
        <f>Marathon!AH58</f>
        <v>128906.40305942731</v>
      </c>
      <c r="I17" s="53"/>
      <c r="J17" s="53"/>
      <c r="K17" s="53"/>
      <c r="L17" s="54">
        <f>BP_Husky!B54</f>
        <v>43265.500000000007</v>
      </c>
      <c r="M17" s="59"/>
      <c r="O17" s="14">
        <f t="shared" si="4"/>
        <v>49310.370299966758</v>
      </c>
      <c r="P17" s="14">
        <f t="shared" si="5"/>
        <v>46156.22381583837</v>
      </c>
      <c r="Q17" s="14">
        <f t="shared" si="2"/>
        <v>0.9360348246232798</v>
      </c>
    </row>
    <row r="18" spans="1:17">
      <c r="A18" t="s">
        <v>52</v>
      </c>
      <c r="B18" s="54">
        <f>Hovensa!B74</f>
        <v>274</v>
      </c>
      <c r="C18" s="54">
        <f>Shell!B46</f>
        <v>124</v>
      </c>
      <c r="D18" s="54" t="s">
        <v>162</v>
      </c>
      <c r="E18" s="54" t="s">
        <v>407</v>
      </c>
      <c r="F18" s="54">
        <f>ExM_Torrance!B46</f>
        <v>397.5</v>
      </c>
      <c r="G18" s="54" t="s">
        <v>407</v>
      </c>
      <c r="H18" s="54">
        <f>Marathon!AH61</f>
        <v>954.8192818644734</v>
      </c>
      <c r="I18" s="54">
        <f>Houston1!V70</f>
        <v>97.093893673482341</v>
      </c>
      <c r="J18" s="54" t="s">
        <v>407</v>
      </c>
      <c r="K18" s="53"/>
      <c r="L18" s="54" t="s">
        <v>407</v>
      </c>
      <c r="M18" s="54">
        <f>ExM_Baytown!F64</f>
        <v>378.66666666666669</v>
      </c>
      <c r="O18" s="14">
        <f t="shared" si="4"/>
        <v>371.01330703410372</v>
      </c>
      <c r="P18" s="14">
        <f t="shared" si="5"/>
        <v>312.10528213249387</v>
      </c>
      <c r="Q18" s="14">
        <f t="shared" si="2"/>
        <v>0.84122395670246131</v>
      </c>
    </row>
    <row r="19" spans="1:17">
      <c r="A19" t="s">
        <v>54</v>
      </c>
      <c r="B19" s="54">
        <f>Hovensa!B76</f>
        <v>601</v>
      </c>
      <c r="C19" s="54">
        <f>Shell!B47</f>
        <v>290</v>
      </c>
      <c r="D19" s="54" t="s">
        <v>162</v>
      </c>
      <c r="E19" s="54" t="s">
        <v>407</v>
      </c>
      <c r="F19" s="54">
        <f>ExM_Torrance!B47</f>
        <v>723</v>
      </c>
      <c r="G19" s="54" t="s">
        <v>407</v>
      </c>
      <c r="H19" s="54">
        <f>Marathon!AH62</f>
        <v>2200.8174079021087</v>
      </c>
      <c r="I19" s="54" t="s">
        <v>407</v>
      </c>
      <c r="J19" s="54" t="s">
        <v>407</v>
      </c>
      <c r="K19" s="53"/>
      <c r="L19" s="54" t="s">
        <v>407</v>
      </c>
      <c r="M19" s="54">
        <f>ExM_Baytown!F67</f>
        <v>1205</v>
      </c>
      <c r="O19" s="14">
        <f t="shared" si="4"/>
        <v>1003.9634815804217</v>
      </c>
      <c r="P19" s="14">
        <f t="shared" si="5"/>
        <v>745.64383273610417</v>
      </c>
      <c r="Q19" s="14">
        <f t="shared" si="2"/>
        <v>0.74270015435454362</v>
      </c>
    </row>
    <row r="20" spans="1:17">
      <c r="A20" s="45" t="s">
        <v>339</v>
      </c>
      <c r="B20" s="54" t="s">
        <v>407</v>
      </c>
      <c r="C20" s="54">
        <f>Shell!B48</f>
        <v>32.799999999999997</v>
      </c>
      <c r="D20" s="54" t="s">
        <v>162</v>
      </c>
      <c r="E20" s="54" t="s">
        <v>407</v>
      </c>
      <c r="F20" s="54">
        <f>ExM_Torrance!B48</f>
        <v>41.5</v>
      </c>
      <c r="G20" s="54" t="s">
        <v>407</v>
      </c>
      <c r="H20" s="54" t="s">
        <v>407</v>
      </c>
      <c r="I20" s="54" t="s">
        <v>407</v>
      </c>
      <c r="J20" s="54" t="s">
        <v>407</v>
      </c>
      <c r="K20" s="53"/>
      <c r="L20" s="54" t="s">
        <v>407</v>
      </c>
      <c r="M20" s="53"/>
      <c r="O20" s="14">
        <f t="shared" si="4"/>
        <v>37.15</v>
      </c>
      <c r="P20" s="14">
        <f t="shared" si="5"/>
        <v>6.1518289963229842</v>
      </c>
      <c r="Q20" s="14">
        <f t="shared" si="2"/>
        <v>0.16559432022403728</v>
      </c>
    </row>
    <row r="21" spans="1:17">
      <c r="A21" t="s">
        <v>167</v>
      </c>
      <c r="B21" s="54">
        <f>Hovensa!B77</f>
        <v>466</v>
      </c>
      <c r="C21" s="54">
        <f>Shell!B49</f>
        <v>257</v>
      </c>
      <c r="D21" s="54" t="s">
        <v>162</v>
      </c>
      <c r="E21" s="54" t="s">
        <v>407</v>
      </c>
      <c r="F21" s="54">
        <f>ExM_Torrance!B49</f>
        <v>410.3</v>
      </c>
      <c r="G21" s="54" t="s">
        <v>407</v>
      </c>
      <c r="H21" s="54" t="s">
        <v>407</v>
      </c>
      <c r="I21" s="54" t="s">
        <v>407</v>
      </c>
      <c r="J21" s="54" t="s">
        <v>407</v>
      </c>
      <c r="K21" s="53"/>
      <c r="L21" s="54" t="s">
        <v>407</v>
      </c>
      <c r="M21" s="53"/>
      <c r="O21" s="14">
        <f t="shared" si="4"/>
        <v>377.76666666666665</v>
      </c>
      <c r="P21" s="14">
        <f t="shared" si="5"/>
        <v>108.2315265222353</v>
      </c>
      <c r="Q21" s="14">
        <f t="shared" si="2"/>
        <v>0.2865036438425006</v>
      </c>
    </row>
    <row r="22" spans="1:17">
      <c r="P22" s="14"/>
    </row>
    <row r="23" spans="1:17">
      <c r="P23" s="14"/>
    </row>
    <row r="24" spans="1:17">
      <c r="A24" s="45" t="s">
        <v>415</v>
      </c>
      <c r="P24" s="14"/>
    </row>
    <row r="25" spans="1:17">
      <c r="B25" t="s">
        <v>169</v>
      </c>
      <c r="C25" t="s">
        <v>170</v>
      </c>
      <c r="D25" t="s">
        <v>171</v>
      </c>
      <c r="E25" t="s">
        <v>172</v>
      </c>
      <c r="F25" t="s">
        <v>173</v>
      </c>
      <c r="G25" t="s">
        <v>174</v>
      </c>
      <c r="H25" t="s">
        <v>398</v>
      </c>
      <c r="I25" t="s">
        <v>399</v>
      </c>
      <c r="J25" t="s">
        <v>400</v>
      </c>
      <c r="K25" t="s">
        <v>401</v>
      </c>
      <c r="L25" t="s">
        <v>203</v>
      </c>
      <c r="M25" t="s">
        <v>402</v>
      </c>
      <c r="P25" s="14"/>
    </row>
    <row r="26" spans="1:17">
      <c r="A26" t="s">
        <v>78</v>
      </c>
      <c r="P26" s="14"/>
    </row>
    <row r="27" spans="1:17">
      <c r="A27" t="s">
        <v>56</v>
      </c>
      <c r="P27" s="14"/>
    </row>
    <row r="28" spans="1:17">
      <c r="A28" t="s">
        <v>87</v>
      </c>
      <c r="P28" s="14"/>
    </row>
    <row r="29" spans="1:17">
      <c r="A29" t="s">
        <v>74</v>
      </c>
      <c r="P29" s="14"/>
    </row>
    <row r="30" spans="1:17">
      <c r="A30" s="45" t="s">
        <v>76</v>
      </c>
      <c r="P30" s="14"/>
    </row>
    <row r="31" spans="1:17">
      <c r="A31" t="s">
        <v>179</v>
      </c>
      <c r="P31" s="14"/>
    </row>
    <row r="32" spans="1:17">
      <c r="P32" s="14"/>
    </row>
    <row r="33" spans="1:16">
      <c r="A33" t="s">
        <v>88</v>
      </c>
      <c r="P33" s="14"/>
    </row>
    <row r="34" spans="1:16">
      <c r="A34" t="s">
        <v>189</v>
      </c>
      <c r="P34" s="14"/>
    </row>
    <row r="35" spans="1:16">
      <c r="P35" s="14"/>
    </row>
    <row r="36" spans="1:16">
      <c r="A36" t="s">
        <v>184</v>
      </c>
      <c r="B36" s="14"/>
      <c r="P36" s="14"/>
    </row>
    <row r="37" spans="1:16">
      <c r="A37" t="s">
        <v>183</v>
      </c>
      <c r="B37" s="14"/>
      <c r="J37" t="s">
        <v>553</v>
      </c>
      <c r="K37" t="s">
        <v>553</v>
      </c>
      <c r="P37" s="14"/>
    </row>
    <row r="38" spans="1:16">
      <c r="A38" s="45" t="s">
        <v>142</v>
      </c>
      <c r="B38" s="14"/>
      <c r="J38" t="s">
        <v>399</v>
      </c>
      <c r="K38" t="s">
        <v>400</v>
      </c>
      <c r="P38" s="14"/>
    </row>
    <row r="39" spans="1:16">
      <c r="J39">
        <f>Houston1!W38</f>
        <v>8.1016666666666666</v>
      </c>
      <c r="K39" s="13">
        <f>Houston2!F35</f>
        <v>5.1333333333333329</v>
      </c>
      <c r="P39" s="14"/>
    </row>
    <row r="40" spans="1:16">
      <c r="J40">
        <f>Houston1!W39</f>
        <v>1.3791333333333335</v>
      </c>
      <c r="K40" s="13">
        <f>Houston2!F36</f>
        <v>0.77</v>
      </c>
      <c r="P40" s="14"/>
    </row>
    <row r="41" spans="1:16">
      <c r="J41">
        <f>Houston1!W37</f>
        <v>0.28333333333333333</v>
      </c>
      <c r="K41" s="61" t="s">
        <v>407</v>
      </c>
      <c r="P41" s="14"/>
    </row>
    <row r="42" spans="1:16">
      <c r="J42">
        <f>Houston1!W43</f>
        <v>1.2033333333333333E-2</v>
      </c>
      <c r="K42" s="60" t="s">
        <v>407</v>
      </c>
      <c r="P42" s="14"/>
    </row>
    <row r="43" spans="1:16">
      <c r="J43" t="s">
        <v>407</v>
      </c>
      <c r="K43" s="60" t="s">
        <v>407</v>
      </c>
      <c r="P43" s="14"/>
    </row>
    <row r="44" spans="1:16">
      <c r="J44" t="s">
        <v>407</v>
      </c>
      <c r="K44" s="60" t="s">
        <v>407</v>
      </c>
      <c r="P44" s="14"/>
    </row>
    <row r="45" spans="1:16">
      <c r="J45" t="s">
        <v>407</v>
      </c>
      <c r="K45" s="60" t="s">
        <v>407</v>
      </c>
      <c r="P45" s="14"/>
    </row>
    <row r="46" spans="1:16">
      <c r="P46" s="14"/>
    </row>
    <row r="47" spans="1:16">
      <c r="P47" s="14"/>
    </row>
    <row r="48" spans="1:16">
      <c r="A48" s="3" t="s">
        <v>181</v>
      </c>
      <c r="I48" t="s">
        <v>555</v>
      </c>
      <c r="J48" t="s">
        <v>556</v>
      </c>
      <c r="O48" s="123" t="s">
        <v>404</v>
      </c>
      <c r="P48" s="123"/>
    </row>
    <row r="49" spans="1:18">
      <c r="B49" t="s">
        <v>169</v>
      </c>
      <c r="C49" t="s">
        <v>170</v>
      </c>
      <c r="D49" t="s">
        <v>171</v>
      </c>
      <c r="E49" t="s">
        <v>172</v>
      </c>
      <c r="F49" t="s">
        <v>173</v>
      </c>
      <c r="G49" t="s">
        <v>174</v>
      </c>
      <c r="H49" t="s">
        <v>398</v>
      </c>
      <c r="I49" t="s">
        <v>552</v>
      </c>
      <c r="J49" t="s">
        <v>553</v>
      </c>
      <c r="K49" t="s">
        <v>401</v>
      </c>
      <c r="L49" t="s">
        <v>203</v>
      </c>
      <c r="M49" t="s">
        <v>402</v>
      </c>
      <c r="O49" s="38" t="s">
        <v>405</v>
      </c>
      <c r="P49" s="39" t="s">
        <v>406</v>
      </c>
    </row>
    <row r="50" spans="1:18">
      <c r="A50" t="s">
        <v>145</v>
      </c>
      <c r="B50" s="13">
        <f>Hovensa!F64</f>
        <v>799.85793750774008</v>
      </c>
      <c r="C50" s="13">
        <f>Shell!B35</f>
        <v>33.9</v>
      </c>
      <c r="D50" s="60" t="s">
        <v>407</v>
      </c>
      <c r="E50" s="13">
        <f>Chevron!B35</f>
        <v>66.960000000000008</v>
      </c>
      <c r="F50" s="13">
        <f>ExM_Torrance!B35</f>
        <v>12.659766666666666</v>
      </c>
      <c r="G50" s="13">
        <f>Citgo!E15</f>
        <v>73.299042123062705</v>
      </c>
      <c r="H50" s="60">
        <f>Marathon!AL40</f>
        <v>248.2590909090909</v>
      </c>
      <c r="I50" s="13">
        <f>Houston1!X38</f>
        <v>363.98166666666663</v>
      </c>
      <c r="J50">
        <f>(J39*2+K39)/3</f>
        <v>7.112222222222222</v>
      </c>
      <c r="K50" s="13">
        <f>Houston_FTIR!B32</f>
        <v>363.98166666666663</v>
      </c>
      <c r="L50" s="13">
        <f>BP_Husky!B36</f>
        <v>321</v>
      </c>
      <c r="M50" s="13">
        <f>ExM_Baytown!F36</f>
        <v>75.3</v>
      </c>
      <c r="O50" s="47">
        <f t="shared" ref="O50:O56" si="6">AVERAGE(B50:M50)</f>
        <v>215.11921752382875</v>
      </c>
      <c r="P50" s="44">
        <f>STDEV(B50:M50)</f>
        <v>240.26216787011563</v>
      </c>
      <c r="Q50">
        <f>P50/O50</f>
        <v>1.1168791455998197</v>
      </c>
    </row>
    <row r="51" spans="1:18">
      <c r="A51" t="s">
        <v>146</v>
      </c>
      <c r="B51" s="13">
        <f>Hovensa!F65</f>
        <v>169.4997906009099</v>
      </c>
      <c r="C51" s="13">
        <f>Shell!B36</f>
        <v>7.59</v>
      </c>
      <c r="D51" s="60" t="s">
        <v>407</v>
      </c>
      <c r="E51" s="13">
        <f>Chevron!B36</f>
        <v>13.527272727272729</v>
      </c>
      <c r="F51" s="13">
        <f>ExM_Torrance!B36</f>
        <v>2.2769500000000003</v>
      </c>
      <c r="G51" s="13">
        <f>Citgo!E16</f>
        <v>18.96911632069369</v>
      </c>
      <c r="H51" s="60">
        <f>Marathon!AL41</f>
        <v>59.497272727272723</v>
      </c>
      <c r="I51" s="13">
        <f>Houston1!X39</f>
        <v>79.171583333333331</v>
      </c>
      <c r="J51">
        <f>(J40*2+K40)/3</f>
        <v>1.176088888888889</v>
      </c>
      <c r="K51" s="13">
        <f>Houston_FTIR!B33</f>
        <v>79.171583333333331</v>
      </c>
      <c r="L51" s="13">
        <f>BP_Husky!B37</f>
        <v>54.9</v>
      </c>
      <c r="M51" s="13">
        <f>ExM_Baytown!F37</f>
        <v>21.433333333333334</v>
      </c>
      <c r="O51" s="48">
        <f t="shared" si="6"/>
        <v>46.110271933185267</v>
      </c>
      <c r="P51" s="40">
        <f>STDEV(B51:M51)</f>
        <v>50.496576894929532</v>
      </c>
      <c r="Q51">
        <f t="shared" ref="Q51:Q71" si="7">P51/O51</f>
        <v>1.0951264171267545</v>
      </c>
    </row>
    <row r="52" spans="1:18">
      <c r="A52" t="s">
        <v>166</v>
      </c>
      <c r="B52" s="13">
        <f>Hovensa!F66</f>
        <v>180.16380513052005</v>
      </c>
      <c r="C52" s="13">
        <f>Shell!B34</f>
        <v>5.3</v>
      </c>
      <c r="D52" s="60" t="s">
        <v>407</v>
      </c>
      <c r="E52" s="13">
        <f>Chevron!B34</f>
        <v>11.16</v>
      </c>
      <c r="F52" s="13">
        <f>ExM_Torrance!B34</f>
        <v>1.38</v>
      </c>
      <c r="G52" s="13">
        <f>Citgo!E14</f>
        <v>86.29</v>
      </c>
      <c r="H52" s="60">
        <f>Marathon!AL39</f>
        <v>73.526190476190479</v>
      </c>
      <c r="I52" s="13">
        <f>Houston1!X37</f>
        <v>19.942499999999999</v>
      </c>
      <c r="J52">
        <f>J41</f>
        <v>0.28333333333333333</v>
      </c>
      <c r="K52" s="13">
        <f>Houston_FTIR!B31</f>
        <v>19.942499999999999</v>
      </c>
      <c r="L52" s="13">
        <f>BP_Husky!B38</f>
        <v>41.908523146862905</v>
      </c>
      <c r="M52" s="61"/>
      <c r="O52" s="48">
        <f t="shared" si="6"/>
        <v>43.989685208690688</v>
      </c>
      <c r="P52" s="40">
        <f>STDEV(B52:M52)</f>
        <v>56.437269620625848</v>
      </c>
      <c r="Q52">
        <f t="shared" si="7"/>
        <v>1.2829659806130187</v>
      </c>
    </row>
    <row r="53" spans="1:18">
      <c r="A53" t="s">
        <v>52</v>
      </c>
      <c r="B53" s="61"/>
      <c r="C53" s="13">
        <f>Shell!B37</f>
        <v>0.14000000000000001</v>
      </c>
      <c r="D53" s="60" t="s">
        <v>407</v>
      </c>
      <c r="E53" s="60" t="s">
        <v>407</v>
      </c>
      <c r="F53" s="13">
        <f>ExM_Torrance!B37</f>
        <v>6.6481666666666675E-2</v>
      </c>
      <c r="G53" s="60" t="s">
        <v>407</v>
      </c>
      <c r="H53" s="60">
        <f>Marathon!AL42</f>
        <v>0.88488636363636353</v>
      </c>
      <c r="I53" s="13">
        <f>Houston1!X43</f>
        <v>1.2516666666666667</v>
      </c>
      <c r="J53">
        <f>J42</f>
        <v>1.2033333333333333E-2</v>
      </c>
      <c r="K53" s="13">
        <f>Houston_FTIR!B37</f>
        <v>1.2516666666666667</v>
      </c>
      <c r="L53" s="60" t="s">
        <v>407</v>
      </c>
      <c r="M53" s="13">
        <f>ExM_Baytown!F39</f>
        <v>0.34066666666666667</v>
      </c>
      <c r="O53" s="48">
        <f t="shared" si="6"/>
        <v>0.56391448051948045</v>
      </c>
      <c r="P53" s="40">
        <f t="shared" ref="P53:P56" si="8">STDEV(B53:M53)</f>
        <v>0.5523562206513194</v>
      </c>
      <c r="Q53">
        <f t="shared" si="7"/>
        <v>0.97950352355287362</v>
      </c>
    </row>
    <row r="54" spans="1:18">
      <c r="A54" t="s">
        <v>54</v>
      </c>
      <c r="B54" s="60">
        <f>Hovensa!F67</f>
        <v>15.470219430156359</v>
      </c>
      <c r="C54" s="13">
        <f>Shell!B38</f>
        <v>0.39</v>
      </c>
      <c r="D54" s="60" t="s">
        <v>407</v>
      </c>
      <c r="E54" s="60" t="s">
        <v>407</v>
      </c>
      <c r="F54" s="13">
        <f>ExM_Torrance!B38</f>
        <v>0.14275666666666667</v>
      </c>
      <c r="G54" s="60" t="s">
        <v>407</v>
      </c>
      <c r="H54" s="60">
        <f>Marathon!AL43</f>
        <v>2.4050909090909092</v>
      </c>
      <c r="I54" s="60" t="s">
        <v>407</v>
      </c>
      <c r="J54" s="60" t="s">
        <v>407</v>
      </c>
      <c r="K54" s="60" t="s">
        <v>407</v>
      </c>
      <c r="L54" s="60" t="s">
        <v>407</v>
      </c>
      <c r="M54" s="13">
        <f>ExM_Baytown!F42</f>
        <v>1.3</v>
      </c>
      <c r="O54" s="48">
        <f t="shared" si="6"/>
        <v>3.9416134011827872</v>
      </c>
      <c r="P54" s="40">
        <f t="shared" si="8"/>
        <v>6.5056331348712346</v>
      </c>
      <c r="Q54">
        <f t="shared" si="7"/>
        <v>1.6505000548554671</v>
      </c>
    </row>
    <row r="55" spans="1:18">
      <c r="A55" s="45" t="s">
        <v>339</v>
      </c>
      <c r="B55" s="60" t="s">
        <v>407</v>
      </c>
      <c r="C55" s="13">
        <f>Shell!B39</f>
        <v>0.05</v>
      </c>
      <c r="D55" s="60" t="s">
        <v>407</v>
      </c>
      <c r="E55" s="60" t="s">
        <v>407</v>
      </c>
      <c r="F55" s="13">
        <f>ExM_Torrance!B39</f>
        <v>9.4166666666666669E-3</v>
      </c>
      <c r="G55" s="60" t="s">
        <v>407</v>
      </c>
      <c r="H55" s="60" t="s">
        <v>407</v>
      </c>
      <c r="I55" s="60" t="s">
        <v>407</v>
      </c>
      <c r="J55" s="60" t="s">
        <v>407</v>
      </c>
      <c r="K55" s="60" t="s">
        <v>407</v>
      </c>
      <c r="L55" s="60" t="s">
        <v>407</v>
      </c>
      <c r="M55" s="13">
        <f>ExM_Baytown!F49</f>
        <v>0.12066666666666666</v>
      </c>
      <c r="O55" s="48">
        <f t="shared" si="6"/>
        <v>6.002777777777777E-2</v>
      </c>
      <c r="P55" s="40">
        <f t="shared" si="8"/>
        <v>5.6298826545234236E-2</v>
      </c>
      <c r="Q55">
        <f t="shared" si="7"/>
        <v>0.9378795722482336</v>
      </c>
    </row>
    <row r="56" spans="1:18">
      <c r="A56" t="s">
        <v>167</v>
      </c>
      <c r="B56" s="60" t="s">
        <v>407</v>
      </c>
      <c r="C56" s="13">
        <f>Shell!B40</f>
        <v>0.39</v>
      </c>
      <c r="D56" s="60" t="s">
        <v>407</v>
      </c>
      <c r="E56" s="60" t="s">
        <v>407</v>
      </c>
      <c r="F56" s="13">
        <f>ExM_Torrance!B40</f>
        <v>9.3413333333333334E-2</v>
      </c>
      <c r="G56" s="60" t="s">
        <v>407</v>
      </c>
      <c r="H56" s="60" t="s">
        <v>407</v>
      </c>
      <c r="I56" s="60" t="s">
        <v>407</v>
      </c>
      <c r="J56" s="60" t="s">
        <v>407</v>
      </c>
      <c r="K56" s="60" t="s">
        <v>407</v>
      </c>
      <c r="L56" s="60" t="s">
        <v>407</v>
      </c>
      <c r="M56" s="13">
        <f>ExM_Baytown!F53</f>
        <v>0.9473666666666668</v>
      </c>
      <c r="O56" s="49">
        <f t="shared" si="6"/>
        <v>0.47692666666666672</v>
      </c>
      <c r="P56" s="42">
        <f t="shared" si="8"/>
        <v>0.43356228838669908</v>
      </c>
      <c r="Q56">
        <f t="shared" si="7"/>
        <v>0.90907537508219094</v>
      </c>
    </row>
    <row r="57" spans="1:18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O57" s="43"/>
      <c r="P57" s="40"/>
    </row>
    <row r="58" spans="1:18">
      <c r="A58" t="s">
        <v>168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O58" s="43"/>
      <c r="P58" s="40"/>
    </row>
    <row r="59" spans="1:18">
      <c r="A59" t="s">
        <v>78</v>
      </c>
      <c r="B59" s="13">
        <f>Hovensa!O15</f>
        <v>2.9129999999999994</v>
      </c>
      <c r="C59" s="60" t="s">
        <v>407</v>
      </c>
      <c r="D59" s="60" t="s">
        <v>407</v>
      </c>
      <c r="E59" s="60" t="s">
        <v>407</v>
      </c>
      <c r="F59" s="60" t="s">
        <v>407</v>
      </c>
      <c r="G59" s="60" t="s">
        <v>407</v>
      </c>
      <c r="H59" s="61"/>
      <c r="I59" s="60" t="s">
        <v>407</v>
      </c>
      <c r="J59" s="13">
        <f>Houston2!O15</f>
        <v>1.9430299999999998E-2</v>
      </c>
      <c r="K59" s="60" t="s">
        <v>407</v>
      </c>
      <c r="L59" s="13">
        <f>BP_Husky!K39</f>
        <v>0.72699999999999998</v>
      </c>
      <c r="M59" s="13">
        <f>ExM_Baytown!O26</f>
        <v>0.20526666666666668</v>
      </c>
      <c r="O59" s="50">
        <f t="shared" ref="O59:O64" si="9">AVERAGE(B59:M59)</f>
        <v>0.96617424166666643</v>
      </c>
      <c r="P59" s="44">
        <f>STDEV(B59:M59)</f>
        <v>1.331995905894847</v>
      </c>
      <c r="Q59">
        <f t="shared" si="7"/>
        <v>1.378629079985751</v>
      </c>
      <c r="R59" s="13">
        <f>AVERAGE(B59,L59,M59)</f>
        <v>1.2817555555555553</v>
      </c>
    </row>
    <row r="60" spans="1:18">
      <c r="A60" t="s">
        <v>56</v>
      </c>
      <c r="B60" s="13">
        <f>Hovensa!O17</f>
        <v>1.7395</v>
      </c>
      <c r="C60" s="60" t="s">
        <v>407</v>
      </c>
      <c r="D60" s="60" t="s">
        <v>407</v>
      </c>
      <c r="E60" s="60" t="s">
        <v>407</v>
      </c>
      <c r="F60" s="60" t="s">
        <v>407</v>
      </c>
      <c r="G60" s="60" t="s">
        <v>407</v>
      </c>
      <c r="H60" s="61"/>
      <c r="I60" s="60" t="s">
        <v>407</v>
      </c>
      <c r="J60" s="13">
        <f>Houston2!O17</f>
        <v>7.4692999999999999E-3</v>
      </c>
      <c r="K60" s="60" t="s">
        <v>407</v>
      </c>
      <c r="L60" s="13">
        <f>BP_Husky!L41</f>
        <v>0.39425769230769231</v>
      </c>
      <c r="M60" s="13">
        <f>ExM_Baytown!O28</f>
        <v>0.11433333333333333</v>
      </c>
      <c r="O60" s="51">
        <f t="shared" si="9"/>
        <v>0.56389008141025632</v>
      </c>
      <c r="P60" s="40">
        <f t="shared" ref="P60:P63" si="10">STDEV(B60:M60)</f>
        <v>0.80052882185172358</v>
      </c>
      <c r="Q60">
        <f t="shared" si="7"/>
        <v>1.4196540216661508</v>
      </c>
      <c r="R60" s="13">
        <f t="shared" ref="R60:R64" si="11">AVERAGE(B60,L60,M60)</f>
        <v>0.74936367521367508</v>
      </c>
    </row>
    <row r="61" spans="1:18">
      <c r="A61" t="s">
        <v>87</v>
      </c>
      <c r="B61" s="13">
        <f>Hovensa!O25</f>
        <v>0.46149999999999997</v>
      </c>
      <c r="C61" s="60" t="s">
        <v>407</v>
      </c>
      <c r="D61" s="60" t="s">
        <v>407</v>
      </c>
      <c r="E61" s="60" t="s">
        <v>407</v>
      </c>
      <c r="F61" s="60" t="s">
        <v>407</v>
      </c>
      <c r="G61" s="60" t="s">
        <v>407</v>
      </c>
      <c r="H61" s="61"/>
      <c r="I61" s="60" t="s">
        <v>407</v>
      </c>
      <c r="J61" s="13">
        <f>Houston2!O25</f>
        <v>4.2635500000000005E-3</v>
      </c>
      <c r="K61" s="60" t="s">
        <v>407</v>
      </c>
      <c r="L61" s="13">
        <f>BP_Husky!K44</f>
        <v>0.14599999999999999</v>
      </c>
      <c r="M61" s="132">
        <v>0.03</v>
      </c>
      <c r="O61" s="51">
        <f t="shared" si="9"/>
        <v>0.16044088749999999</v>
      </c>
      <c r="P61" s="40">
        <f t="shared" si="10"/>
        <v>0.20996135702508995</v>
      </c>
      <c r="Q61">
        <f t="shared" si="7"/>
        <v>1.3086524282975558</v>
      </c>
      <c r="R61" s="13">
        <f t="shared" si="11"/>
        <v>0.21249999999999999</v>
      </c>
    </row>
    <row r="62" spans="1:18">
      <c r="A62" t="s">
        <v>74</v>
      </c>
      <c r="B62" s="13">
        <f>Hovensa!O10</f>
        <v>0.14655000000000001</v>
      </c>
      <c r="C62" s="60" t="s">
        <v>407</v>
      </c>
      <c r="D62" s="60" t="s">
        <v>407</v>
      </c>
      <c r="E62" s="60" t="s">
        <v>407</v>
      </c>
      <c r="F62" s="60" t="s">
        <v>407</v>
      </c>
      <c r="G62" s="60" t="s">
        <v>407</v>
      </c>
      <c r="H62" s="61"/>
      <c r="I62" s="60" t="s">
        <v>407</v>
      </c>
      <c r="J62" s="13">
        <f>Houston2!O10</f>
        <v>1.4162999999999999E-3</v>
      </c>
      <c r="K62" s="60" t="s">
        <v>407</v>
      </c>
      <c r="L62" s="13">
        <f>BP_Husky!K22</f>
        <v>0.06</v>
      </c>
      <c r="M62" s="13">
        <f>ExM_Baytown!O9</f>
        <v>9.1066666666666657E-3</v>
      </c>
      <c r="O62" s="51">
        <f t="shared" si="9"/>
        <v>5.4268241666666675E-2</v>
      </c>
      <c r="P62" s="40">
        <f t="shared" si="10"/>
        <v>6.6787402926751671E-2</v>
      </c>
      <c r="Q62">
        <f t="shared" si="7"/>
        <v>1.2306903794116233</v>
      </c>
      <c r="R62" s="13">
        <f t="shared" si="11"/>
        <v>7.188555555555555E-2</v>
      </c>
    </row>
    <row r="63" spans="1:18">
      <c r="A63" s="45" t="s">
        <v>76</v>
      </c>
      <c r="B63" s="13">
        <f>Hovensa!O12</f>
        <v>0.18162500000000001</v>
      </c>
      <c r="C63" s="60" t="s">
        <v>407</v>
      </c>
      <c r="D63" s="60" t="s">
        <v>407</v>
      </c>
      <c r="E63" s="60" t="s">
        <v>407</v>
      </c>
      <c r="F63" s="60" t="s">
        <v>407</v>
      </c>
      <c r="G63" s="60" t="s">
        <v>407</v>
      </c>
      <c r="H63" s="61"/>
      <c r="I63" s="60" t="s">
        <v>407</v>
      </c>
      <c r="J63" s="13">
        <f>Houston2!O12</f>
        <v>1.3271000000000001E-3</v>
      </c>
      <c r="K63" s="60" t="s">
        <v>407</v>
      </c>
      <c r="L63" s="13">
        <f>BP_Husky!K36</f>
        <v>4.9599999999999998E-2</v>
      </c>
      <c r="M63" s="13">
        <f>ExM_Baytown!O23</f>
        <v>1.1483333333333333E-2</v>
      </c>
      <c r="O63" s="51">
        <f t="shared" si="9"/>
        <v>6.1008858333333339E-2</v>
      </c>
      <c r="P63" s="40">
        <f t="shared" si="10"/>
        <v>8.3052404306573208E-2</v>
      </c>
      <c r="Q63">
        <f t="shared" si="7"/>
        <v>1.3613171361575203</v>
      </c>
      <c r="R63" s="13">
        <f t="shared" si="11"/>
        <v>8.0902777777777782E-2</v>
      </c>
    </row>
    <row r="64" spans="1:18">
      <c r="A64" t="s">
        <v>179</v>
      </c>
      <c r="B64" s="13">
        <f>Hovensa!O40-SUM(B59:B63)-SUM(B66:B67)</f>
        <v>0.64335512999999889</v>
      </c>
      <c r="C64" s="60" t="s">
        <v>407</v>
      </c>
      <c r="D64" s="60" t="s">
        <v>407</v>
      </c>
      <c r="E64" s="60" t="s">
        <v>407</v>
      </c>
      <c r="F64" s="60" t="s">
        <v>407</v>
      </c>
      <c r="G64" s="60" t="s">
        <v>407</v>
      </c>
      <c r="H64" s="61"/>
      <c r="I64" s="60" t="s">
        <v>407</v>
      </c>
      <c r="J64" s="60">
        <f>Houston2!O40-SUM(Summary!J59:J63)-Summary!J67</f>
        <v>2.6732000000000114E-3</v>
      </c>
      <c r="K64" s="61"/>
      <c r="L64" s="62">
        <f>BP_Husky!K51-SUM(Summary!L59:L63)-Summary!L66</f>
        <v>1.6892423076923078</v>
      </c>
      <c r="M64" s="60">
        <f>ExM_Baytown!M40-SUM(Summary!M59:M63)+M61</f>
        <v>6.5999999999996617E-4</v>
      </c>
      <c r="O64" s="52">
        <f t="shared" si="9"/>
        <v>0.58398265942307659</v>
      </c>
      <c r="P64" s="42">
        <f>STDEV(B64:M64)</f>
        <v>0.79651532585502127</v>
      </c>
      <c r="Q64">
        <f t="shared" si="7"/>
        <v>1.3639366049702712</v>
      </c>
      <c r="R64" s="13"/>
    </row>
    <row r="65" spans="1:18"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O65" s="43"/>
      <c r="P65" s="41"/>
    </row>
    <row r="66" spans="1:18">
      <c r="A66" t="s">
        <v>88</v>
      </c>
      <c r="B66" s="13">
        <f>Hovensa!O26</f>
        <v>0.12077500000000001</v>
      </c>
      <c r="C66" s="60" t="s">
        <v>407</v>
      </c>
      <c r="D66" s="60" t="s">
        <v>407</v>
      </c>
      <c r="E66" s="60" t="s">
        <v>407</v>
      </c>
      <c r="F66" s="60" t="s">
        <v>407</v>
      </c>
      <c r="G66" s="60" t="s">
        <v>407</v>
      </c>
      <c r="H66" s="61"/>
      <c r="I66" s="60" t="s">
        <v>407</v>
      </c>
      <c r="J66" s="60" t="s">
        <v>407</v>
      </c>
      <c r="K66" s="60" t="s">
        <v>407</v>
      </c>
      <c r="L66" s="60">
        <f>BP_Husky!K45</f>
        <v>1.7899999999999999E-2</v>
      </c>
      <c r="M66" s="60">
        <v>0</v>
      </c>
      <c r="O66" s="50">
        <f>AVERAGE(B66:M66)</f>
        <v>4.6224999999999995E-2</v>
      </c>
      <c r="P66" s="44">
        <f>STDEV(B66:M66)</f>
        <v>6.5179593240522776E-2</v>
      </c>
      <c r="Q66">
        <f t="shared" si="7"/>
        <v>1.4100506920610663</v>
      </c>
      <c r="R66" s="13">
        <f>AVERAGE(B66,L66,M66)</f>
        <v>4.6224999999999995E-2</v>
      </c>
    </row>
    <row r="67" spans="1:18">
      <c r="A67" t="s">
        <v>189</v>
      </c>
      <c r="B67" s="13">
        <f>SUM(Hovensa!O16,Hovensa!O32)</f>
        <v>0.229825</v>
      </c>
      <c r="C67" s="60" t="s">
        <v>407</v>
      </c>
      <c r="D67" s="60" t="s">
        <v>407</v>
      </c>
      <c r="E67" s="60" t="s">
        <v>407</v>
      </c>
      <c r="F67" s="60" t="s">
        <v>407</v>
      </c>
      <c r="G67" s="60" t="s">
        <v>407</v>
      </c>
      <c r="H67" s="61"/>
      <c r="I67" s="60" t="s">
        <v>407</v>
      </c>
      <c r="J67" s="60">
        <f>SUM(Houston2!O16,Houston2!O32)</f>
        <v>1.2585E-4</v>
      </c>
      <c r="K67" s="60" t="s">
        <v>407</v>
      </c>
      <c r="L67" s="60">
        <v>0</v>
      </c>
      <c r="M67" s="60">
        <v>0</v>
      </c>
      <c r="O67" s="52">
        <f>AVERAGE(B67:M67)</f>
        <v>5.7487712500000003E-2</v>
      </c>
      <c r="P67" s="42">
        <f>STDEV(B67:M67)</f>
        <v>0.11489154031707741</v>
      </c>
      <c r="Q67">
        <f t="shared" si="7"/>
        <v>1.998540824129633</v>
      </c>
      <c r="R67" s="13">
        <f t="shared" ref="R67" si="12">AVERAGE(B67,L67,M67)</f>
        <v>7.6608333333333334E-2</v>
      </c>
    </row>
    <row r="68" spans="1:18"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O68" s="43"/>
      <c r="P68" s="41"/>
      <c r="R68" s="13"/>
    </row>
    <row r="69" spans="1:18">
      <c r="A69" t="s">
        <v>184</v>
      </c>
      <c r="B69" s="13">
        <f>SUM(B70:B71)</f>
        <v>61.6</v>
      </c>
      <c r="C69" s="13">
        <f>SUM(C70:C71)</f>
        <v>1.8199999999999998</v>
      </c>
      <c r="D69" s="60" t="s">
        <v>407</v>
      </c>
      <c r="E69" s="13">
        <f>SUM(E70:E71)</f>
        <v>13.68</v>
      </c>
      <c r="F69" s="13">
        <f>SUM(F70:F71)</f>
        <v>0.88000000000000012</v>
      </c>
      <c r="G69" s="60" t="s">
        <v>407</v>
      </c>
      <c r="H69" s="60">
        <f>Marathon!AL38</f>
        <v>7.6901642857142862</v>
      </c>
      <c r="I69" s="60" t="s">
        <v>407</v>
      </c>
      <c r="J69" s="60">
        <f>Houston2!O47</f>
        <v>0.72083333333333321</v>
      </c>
      <c r="K69" s="60" t="s">
        <v>407</v>
      </c>
      <c r="L69" s="60">
        <f>BP_Husky!J7</f>
        <v>2.3759999999999999</v>
      </c>
      <c r="M69" s="60">
        <f>ExM_Baytown!O47</f>
        <v>2.1799999999999997</v>
      </c>
      <c r="O69" s="50">
        <f>AVERAGE(B69:M69)</f>
        <v>11.368374702380951</v>
      </c>
      <c r="P69" s="44">
        <f>STDEV(B69:G69)</f>
        <v>28.668037370330513</v>
      </c>
      <c r="Q69">
        <f t="shared" si="7"/>
        <v>2.5217357908097791</v>
      </c>
      <c r="R69" s="13"/>
    </row>
    <row r="70" spans="1:18">
      <c r="A70" t="s">
        <v>183</v>
      </c>
      <c r="B70" s="13">
        <f>Hovensa!O53</f>
        <v>6.8860367501868804</v>
      </c>
      <c r="C70" s="13">
        <f>Shell!B32</f>
        <v>0.36</v>
      </c>
      <c r="D70" s="60" t="s">
        <v>407</v>
      </c>
      <c r="E70" s="13">
        <f>Chevron!B32</f>
        <v>1.25</v>
      </c>
      <c r="F70" s="13">
        <f>ExM_Torrance!B32</f>
        <v>0.34</v>
      </c>
      <c r="G70" s="60" t="s">
        <v>407</v>
      </c>
      <c r="H70" s="60">
        <f>Marathon!AL36</f>
        <v>0.61659285714285716</v>
      </c>
      <c r="I70" s="60" t="s">
        <v>407</v>
      </c>
      <c r="J70" s="60">
        <f>Houston2!O49</f>
        <v>0.39746666666666663</v>
      </c>
      <c r="K70" s="60" t="s">
        <v>407</v>
      </c>
      <c r="L70" s="60">
        <f>BP_Husky!J9</f>
        <v>0.999</v>
      </c>
      <c r="M70" s="60">
        <f>ExM_Baytown!O49</f>
        <v>0.82366666666666666</v>
      </c>
      <c r="O70" s="51">
        <f>AVERAGE(B70:M70)</f>
        <v>1.4590953675828839</v>
      </c>
      <c r="P70" s="40">
        <f>STDEV(B70:G70)</f>
        <v>3.1467610735623071</v>
      </c>
      <c r="Q70">
        <f t="shared" si="7"/>
        <v>2.1566520896952648</v>
      </c>
      <c r="R70" s="13"/>
    </row>
    <row r="71" spans="1:18">
      <c r="A71" s="45" t="s">
        <v>142</v>
      </c>
      <c r="B71" s="13">
        <f>Hovensa!O54</f>
        <v>54.713963249813119</v>
      </c>
      <c r="C71" s="13">
        <f>Shell!B33</f>
        <v>1.46</v>
      </c>
      <c r="D71" s="60" t="s">
        <v>407</v>
      </c>
      <c r="E71" s="13">
        <f>Chevron!B33</f>
        <v>12.43</v>
      </c>
      <c r="F71" s="13">
        <f>ExM_Torrance!B33</f>
        <v>0.54</v>
      </c>
      <c r="G71" s="60" t="s">
        <v>407</v>
      </c>
      <c r="H71" s="60">
        <f>Marathon!AL37</f>
        <v>7.0735714285714293</v>
      </c>
      <c r="I71" s="60" t="s">
        <v>407</v>
      </c>
      <c r="J71" s="60">
        <f>Houston2!O50</f>
        <v>0.32343333333333335</v>
      </c>
      <c r="K71" s="60" t="s">
        <v>407</v>
      </c>
      <c r="L71" s="60">
        <f>SUM(BP_Husky!J10:J11)</f>
        <v>1.377</v>
      </c>
      <c r="M71" s="60">
        <f>ExM_Baytown!O52</f>
        <v>1.3563333333333334</v>
      </c>
      <c r="O71" s="52">
        <f>AVERAGE(B71:M71)</f>
        <v>9.9092876681314017</v>
      </c>
      <c r="P71" s="42">
        <f>STDEV(B71:G71)</f>
        <v>25.529877666693608</v>
      </c>
      <c r="Q71">
        <f t="shared" si="7"/>
        <v>2.5763585155367466</v>
      </c>
      <c r="R71" s="13"/>
    </row>
    <row r="73" spans="1:18">
      <c r="H73" s="113"/>
    </row>
    <row r="74" spans="1:18">
      <c r="A74" s="3" t="s">
        <v>548</v>
      </c>
      <c r="B74" s="125" t="s">
        <v>551</v>
      </c>
      <c r="C74" s="126"/>
      <c r="D74" s="127"/>
      <c r="E74" s="123" t="s">
        <v>404</v>
      </c>
      <c r="F74" s="123"/>
      <c r="G74" s="125" t="s">
        <v>550</v>
      </c>
      <c r="H74" s="126"/>
      <c r="I74" s="127"/>
      <c r="J74" s="124" t="s">
        <v>550</v>
      </c>
      <c r="K74" s="124"/>
    </row>
    <row r="75" spans="1:18">
      <c r="A75" s="2" t="s">
        <v>69</v>
      </c>
      <c r="B75" s="116" t="s">
        <v>400</v>
      </c>
      <c r="C75" s="2" t="s">
        <v>203</v>
      </c>
      <c r="D75" s="117" t="s">
        <v>402</v>
      </c>
      <c r="E75" s="105" t="s">
        <v>405</v>
      </c>
      <c r="F75" s="106" t="s">
        <v>406</v>
      </c>
      <c r="G75" s="116" t="s">
        <v>400</v>
      </c>
      <c r="H75" s="2" t="s">
        <v>203</v>
      </c>
      <c r="I75" s="117" t="s">
        <v>402</v>
      </c>
      <c r="J75" s="121" t="s">
        <v>405</v>
      </c>
      <c r="K75" s="106" t="s">
        <v>406</v>
      </c>
    </row>
    <row r="76" spans="1:18">
      <c r="A76" t="s">
        <v>293</v>
      </c>
      <c r="B76" s="114"/>
      <c r="C76" s="118"/>
      <c r="D76" s="115"/>
      <c r="E76" s="108"/>
      <c r="F76" s="44"/>
      <c r="G76" s="114"/>
      <c r="H76" s="118"/>
      <c r="I76" s="115"/>
      <c r="J76" s="108"/>
      <c r="K76" s="44"/>
    </row>
    <row r="77" spans="1:18">
      <c r="A77" t="s">
        <v>294</v>
      </c>
      <c r="B77" s="119"/>
      <c r="C77" s="73"/>
      <c r="D77" s="41"/>
      <c r="E77" s="109"/>
      <c r="F77" s="41"/>
      <c r="G77" s="119"/>
      <c r="H77" s="73"/>
      <c r="I77" s="41"/>
      <c r="J77" s="109"/>
      <c r="K77" s="41"/>
    </row>
    <row r="78" spans="1:18">
      <c r="A78" t="s">
        <v>295</v>
      </c>
      <c r="B78" s="119"/>
      <c r="C78" s="73"/>
      <c r="D78" s="41"/>
      <c r="E78" s="109"/>
      <c r="F78" s="41"/>
      <c r="G78" s="119"/>
      <c r="H78" s="73"/>
      <c r="I78" s="41"/>
      <c r="J78" s="109"/>
      <c r="K78" s="41"/>
    </row>
    <row r="79" spans="1:18">
      <c r="A79" t="s">
        <v>296</v>
      </c>
      <c r="B79" s="109">
        <f>Houston2!O62</f>
        <v>5.7899999999999998E-7</v>
      </c>
      <c r="C79" s="107"/>
      <c r="D79" s="110">
        <f>ExM_Baytown!O62</f>
        <v>3.203333333333333E-5</v>
      </c>
      <c r="E79" s="109">
        <f t="shared" ref="E79:E90" si="13">AVERAGE(B79:D79)</f>
        <v>1.6306166666666666E-5</v>
      </c>
      <c r="F79" s="110">
        <f>STDEV(B79:D79)</f>
        <v>2.2241572397702058E-5</v>
      </c>
      <c r="G79" s="109">
        <f>B79/$B$92</f>
        <v>8.9240873833508338E-11</v>
      </c>
      <c r="H79" s="107"/>
      <c r="I79" s="110">
        <f>D79/$D$92</f>
        <v>3.1723322437989457E-9</v>
      </c>
      <c r="J79" s="109">
        <f t="shared" ref="J79" si="14">AVERAGE(G79:I79)</f>
        <v>1.6307865588162271E-9</v>
      </c>
      <c r="K79" s="110">
        <f>STDEV(G79:I79)</f>
        <v>2.1800748147202834E-9</v>
      </c>
    </row>
    <row r="80" spans="1:18">
      <c r="A80" t="s">
        <v>297</v>
      </c>
      <c r="B80" s="109">
        <f>Houston2!O63</f>
        <v>1.3713999999999998E-5</v>
      </c>
      <c r="C80" s="107"/>
      <c r="D80" s="110">
        <f>ExM_Baytown!O63</f>
        <v>1.4036666666666667E-4</v>
      </c>
      <c r="E80" s="109">
        <f t="shared" si="13"/>
        <v>7.7040333333333328E-5</v>
      </c>
      <c r="F80" s="110">
        <f t="shared" ref="F80:F83" si="15">STDEV(B80:D80)</f>
        <v>8.9556959455359421E-5</v>
      </c>
      <c r="G80" s="109">
        <f t="shared" ref="G80:G90" si="16">B80/$B$92</f>
        <v>2.1137294365332177E-9</v>
      </c>
      <c r="H80" s="107"/>
      <c r="I80" s="110">
        <f t="shared" ref="I80:I83" si="17">D80/$D$92</f>
        <v>1.3900823182765205E-8</v>
      </c>
      <c r="J80" s="109">
        <f t="shared" ref="J80:J90" si="18">AVERAGE(G80:I80)</f>
        <v>8.0072763096492113E-9</v>
      </c>
      <c r="K80" s="110">
        <f t="shared" ref="K80:K83" si="19">STDEV(G80:I80)</f>
        <v>8.3347339184421847E-9</v>
      </c>
    </row>
    <row r="81" spans="1:11">
      <c r="A81" t="s">
        <v>298</v>
      </c>
      <c r="B81" s="109">
        <f>Houston2!O64</f>
        <v>6.666666666666666E-7</v>
      </c>
      <c r="C81" s="107">
        <f>BP_Husky!J61</f>
        <v>1.35E-4</v>
      </c>
      <c r="D81" s="110">
        <f>ExM_Baytown!O64</f>
        <v>1.2300000000000001E-5</v>
      </c>
      <c r="E81" s="109">
        <f t="shared" si="13"/>
        <v>4.9322222222222225E-5</v>
      </c>
      <c r="F81" s="110">
        <f t="shared" si="15"/>
        <v>7.4426774851627246E-5</v>
      </c>
      <c r="G81" s="109">
        <f t="shared" si="16"/>
        <v>1.0275287718308385E-10</v>
      </c>
      <c r="H81" s="107">
        <f>C81/$C$92</f>
        <v>3.9644704744103681E-9</v>
      </c>
      <c r="I81" s="110">
        <f t="shared" si="17"/>
        <v>1.2180963558395537E-9</v>
      </c>
      <c r="J81" s="109">
        <f t="shared" si="18"/>
        <v>1.7617732358110018E-9</v>
      </c>
      <c r="K81" s="110">
        <f t="shared" si="19"/>
        <v>1.9874365681815693E-9</v>
      </c>
    </row>
    <row r="82" spans="1:11">
      <c r="A82" t="s">
        <v>299</v>
      </c>
      <c r="B82" s="109">
        <f>Houston2!O65</f>
        <v>8.4959999999999996E-6</v>
      </c>
      <c r="C82" s="107">
        <f>BP_Husky!J62</f>
        <v>9.6899999999999997E-5</v>
      </c>
      <c r="D82" s="110">
        <f>ExM_Baytown!O65</f>
        <v>7.4863333333333333E-4</v>
      </c>
      <c r="E82" s="109">
        <f t="shared" si="13"/>
        <v>2.8467644444444445E-4</v>
      </c>
      <c r="F82" s="110">
        <f t="shared" si="15"/>
        <v>4.0422247941522576E-4</v>
      </c>
      <c r="G82" s="109">
        <f t="shared" si="16"/>
        <v>1.3094826668212206E-9</v>
      </c>
      <c r="H82" s="107">
        <f t="shared" ref="H82:H83" si="20">C82/$C$92</f>
        <v>2.8456088071878861E-9</v>
      </c>
      <c r="I82" s="110">
        <f t="shared" si="17"/>
        <v>7.4138823999459444E-8</v>
      </c>
      <c r="J82" s="109">
        <f t="shared" si="18"/>
        <v>2.609797182448952E-8</v>
      </c>
      <c r="K82" s="110">
        <f t="shared" si="19"/>
        <v>4.1611687410543256E-8</v>
      </c>
    </row>
    <row r="83" spans="1:11">
      <c r="A83" t="s">
        <v>300</v>
      </c>
      <c r="B83" s="109">
        <f>Houston2!O66</f>
        <v>7.111000000000001E-6</v>
      </c>
      <c r="C83" s="107">
        <f>BP_Husky!J63</f>
        <v>1.7799999999999999E-4</v>
      </c>
      <c r="D83" s="110">
        <f>ExM_Baytown!O66</f>
        <v>3.3133333333333338E-4</v>
      </c>
      <c r="E83" s="109">
        <f t="shared" si="13"/>
        <v>1.7214811111111112E-4</v>
      </c>
      <c r="F83" s="110">
        <f t="shared" si="15"/>
        <v>1.6219036287863626E-4</v>
      </c>
      <c r="G83" s="109">
        <f t="shared" si="16"/>
        <v>1.0960135644733642E-9</v>
      </c>
      <c r="H83" s="107">
        <f t="shared" si="20"/>
        <v>5.2272277366299663E-9</v>
      </c>
      <c r="I83" s="110">
        <f t="shared" si="17"/>
        <v>3.2812676902561423E-8</v>
      </c>
      <c r="J83" s="109">
        <f t="shared" si="18"/>
        <v>1.304530606788825E-8</v>
      </c>
      <c r="K83" s="110">
        <f t="shared" si="19"/>
        <v>1.7243214460206443E-8</v>
      </c>
    </row>
    <row r="84" spans="1:11">
      <c r="A84" t="s">
        <v>301</v>
      </c>
      <c r="B84" s="109"/>
      <c r="C84" s="107"/>
      <c r="D84" s="110">
        <f>ExM_Baytown!O67</f>
        <v>9.2333333333333319E-5</v>
      </c>
      <c r="E84" s="109">
        <f t="shared" si="13"/>
        <v>9.2333333333333319E-5</v>
      </c>
      <c r="F84" s="110"/>
      <c r="G84" s="109"/>
      <c r="H84" s="107"/>
      <c r="I84" s="110"/>
      <c r="J84" s="109"/>
      <c r="K84" s="110"/>
    </row>
    <row r="85" spans="1:11">
      <c r="A85" t="s">
        <v>302</v>
      </c>
      <c r="B85" s="109">
        <f>Houston2!O68</f>
        <v>1.5743333333333335E-6</v>
      </c>
      <c r="C85" s="107"/>
      <c r="D85" s="110"/>
      <c r="E85" s="109">
        <f t="shared" si="13"/>
        <v>1.5743333333333335E-6</v>
      </c>
      <c r="F85" s="110"/>
      <c r="G85" s="109">
        <f t="shared" si="16"/>
        <v>2.4265091946785258E-10</v>
      </c>
      <c r="H85" s="107"/>
      <c r="I85" s="110"/>
      <c r="J85" s="109">
        <f t="shared" si="18"/>
        <v>2.4265091946785258E-10</v>
      </c>
      <c r="K85" s="110"/>
    </row>
    <row r="86" spans="1:11">
      <c r="A86" s="3" t="s">
        <v>303</v>
      </c>
      <c r="B86" s="109"/>
      <c r="C86" s="107"/>
      <c r="D86" s="110"/>
      <c r="E86" s="109"/>
      <c r="F86" s="110"/>
      <c r="G86" s="109"/>
      <c r="H86" s="107"/>
      <c r="I86" s="110"/>
      <c r="J86" s="109"/>
      <c r="K86" s="110"/>
    </row>
    <row r="87" spans="1:11">
      <c r="A87" t="s">
        <v>304</v>
      </c>
      <c r="B87" s="109"/>
      <c r="C87" s="107"/>
      <c r="D87" s="110"/>
      <c r="E87" s="109"/>
      <c r="F87" s="110"/>
      <c r="G87" s="109"/>
      <c r="H87" s="107"/>
      <c r="I87" s="110"/>
      <c r="J87" s="109"/>
      <c r="K87" s="110"/>
    </row>
    <row r="88" spans="1:11">
      <c r="A88" t="s">
        <v>305</v>
      </c>
      <c r="B88" s="109">
        <f>Houston2!K75</f>
        <v>2.0670000000000001E-2</v>
      </c>
      <c r="C88" s="107"/>
      <c r="D88" s="110"/>
      <c r="E88" s="109">
        <f t="shared" si="13"/>
        <v>2.0670000000000001E-2</v>
      </c>
      <c r="F88" s="110"/>
      <c r="G88" s="109">
        <f t="shared" si="16"/>
        <v>3.1858529570615151E-6</v>
      </c>
      <c r="H88" s="107"/>
      <c r="I88" s="110"/>
      <c r="J88" s="109">
        <f t="shared" si="18"/>
        <v>3.1858529570615151E-6</v>
      </c>
      <c r="K88" s="110"/>
    </row>
    <row r="89" spans="1:11">
      <c r="A89" t="s">
        <v>306</v>
      </c>
      <c r="B89" s="109"/>
      <c r="C89" s="107"/>
      <c r="D89" s="110"/>
      <c r="E89" s="109"/>
      <c r="F89" s="110"/>
      <c r="G89" s="109"/>
      <c r="H89" s="107"/>
      <c r="I89" s="110"/>
      <c r="J89" s="109"/>
      <c r="K89" s="110"/>
    </row>
    <row r="90" spans="1:11">
      <c r="A90" t="s">
        <v>308</v>
      </c>
      <c r="B90" s="111">
        <f>Houston2!K77</f>
        <v>4.5310000000000003E-2</v>
      </c>
      <c r="C90" s="120"/>
      <c r="D90" s="112"/>
      <c r="E90" s="111">
        <f t="shared" si="13"/>
        <v>4.5310000000000003E-2</v>
      </c>
      <c r="F90" s="112"/>
      <c r="G90" s="111">
        <f t="shared" si="16"/>
        <v>6.983599297748295E-6</v>
      </c>
      <c r="H90" s="120"/>
      <c r="I90" s="112"/>
      <c r="J90" s="111">
        <f t="shared" si="18"/>
        <v>6.983599297748295E-6</v>
      </c>
      <c r="K90" s="112"/>
    </row>
    <row r="92" spans="1:11">
      <c r="A92" s="3" t="s">
        <v>549</v>
      </c>
      <c r="B92">
        <f>Houston2!E53</f>
        <v>6488.0583876868759</v>
      </c>
      <c r="C92">
        <f>BP_Husky!B60</f>
        <v>34052.466999411423</v>
      </c>
      <c r="D92" s="9">
        <f>ExM_Baytown!F87</f>
        <v>10097.723337758793</v>
      </c>
    </row>
  </sheetData>
  <mergeCells count="5">
    <mergeCell ref="O48:P48"/>
    <mergeCell ref="E74:F74"/>
    <mergeCell ref="J74:K74"/>
    <mergeCell ref="B74:D74"/>
    <mergeCell ref="G74:I74"/>
  </mergeCells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AX34"/>
  <sheetViews>
    <sheetView workbookViewId="0">
      <selection activeCell="H4" sqref="H4"/>
    </sheetView>
  </sheetViews>
  <sheetFormatPr defaultRowHeight="12.75"/>
  <cols>
    <col min="1" max="1" width="12.7109375" bestFit="1" customWidth="1"/>
    <col min="2" max="2" width="10" bestFit="1" customWidth="1"/>
    <col min="3" max="9" width="10" customWidth="1"/>
  </cols>
  <sheetData>
    <row r="9" spans="1:50">
      <c r="D9" s="80" t="s">
        <v>502</v>
      </c>
      <c r="K9" s="81" t="s">
        <v>478</v>
      </c>
    </row>
    <row r="10" spans="1:50" s="77" customFormat="1" ht="78.75">
      <c r="A10" s="77" t="s">
        <v>416</v>
      </c>
      <c r="B10" s="77" t="s">
        <v>417</v>
      </c>
      <c r="D10" s="79" t="s">
        <v>481</v>
      </c>
      <c r="E10" s="79" t="s">
        <v>487</v>
      </c>
      <c r="F10" s="79" t="s">
        <v>482</v>
      </c>
      <c r="G10" s="79" t="s">
        <v>483</v>
      </c>
      <c r="H10" s="79" t="s">
        <v>484</v>
      </c>
      <c r="I10" s="79" t="s">
        <v>485</v>
      </c>
      <c r="J10" s="79" t="s">
        <v>486</v>
      </c>
      <c r="K10" s="78" t="s">
        <v>433</v>
      </c>
      <c r="L10" s="78" t="s">
        <v>479</v>
      </c>
      <c r="M10" s="78" t="s">
        <v>480</v>
      </c>
      <c r="N10" s="78" t="s">
        <v>428</v>
      </c>
      <c r="O10" s="78" t="s">
        <v>429</v>
      </c>
      <c r="P10" s="78" t="s">
        <v>430</v>
      </c>
      <c r="Q10" s="78" t="s">
        <v>431</v>
      </c>
      <c r="R10" s="78" t="s">
        <v>432</v>
      </c>
      <c r="S10" s="78" t="s">
        <v>434</v>
      </c>
      <c r="T10" s="78" t="s">
        <v>435</v>
      </c>
      <c r="U10" s="78" t="s">
        <v>436</v>
      </c>
      <c r="V10" s="78" t="s">
        <v>437</v>
      </c>
      <c r="W10" s="78" t="s">
        <v>438</v>
      </c>
      <c r="X10" s="78" t="s">
        <v>439</v>
      </c>
      <c r="Y10" s="78" t="s">
        <v>440</v>
      </c>
      <c r="Z10" s="78" t="s">
        <v>441</v>
      </c>
      <c r="AA10" s="78" t="s">
        <v>442</v>
      </c>
      <c r="AB10" s="78" t="s">
        <v>443</v>
      </c>
      <c r="AC10" s="78" t="s">
        <v>444</v>
      </c>
      <c r="AD10" s="78" t="s">
        <v>445</v>
      </c>
      <c r="AE10" s="78" t="s">
        <v>446</v>
      </c>
      <c r="AF10" s="78" t="s">
        <v>447</v>
      </c>
      <c r="AG10" s="78" t="s">
        <v>448</v>
      </c>
      <c r="AH10" s="78" t="s">
        <v>449</v>
      </c>
      <c r="AI10" s="78" t="s">
        <v>450</v>
      </c>
      <c r="AJ10" s="78" t="s">
        <v>451</v>
      </c>
      <c r="AK10" s="78" t="s">
        <v>452</v>
      </c>
    </row>
    <row r="11" spans="1:50" ht="15">
      <c r="A11" t="s">
        <v>169</v>
      </c>
      <c r="B11" s="45" t="s">
        <v>418</v>
      </c>
      <c r="C11" s="45"/>
      <c r="D11" s="82">
        <f>Summary!$B$60</f>
        <v>1.7395</v>
      </c>
      <c r="E11" s="82">
        <f>Summary!$B$59</f>
        <v>2.9129999999999994</v>
      </c>
      <c r="F11" s="45">
        <f>Summary!$B$53</f>
        <v>0</v>
      </c>
      <c r="G11" s="82">
        <f>Summary!$B$54</f>
        <v>15.470219430156359</v>
      </c>
      <c r="H11" s="45" t="str">
        <f>Summary!$B$55</f>
        <v>n/a</v>
      </c>
      <c r="I11" s="45" t="str">
        <f>Summary!$B$56</f>
        <v>n/a</v>
      </c>
      <c r="J11" s="83">
        <f>Summary!$B$52</f>
        <v>180.16380513052005</v>
      </c>
      <c r="K11" s="64" t="s">
        <v>453</v>
      </c>
      <c r="L11" s="85">
        <v>0.74</v>
      </c>
      <c r="M11" s="85">
        <v>1.27</v>
      </c>
      <c r="N11" s="64">
        <v>0.04</v>
      </c>
      <c r="O11" s="85">
        <v>2.4500000000000002</v>
      </c>
      <c r="P11" s="64">
        <v>0.01</v>
      </c>
      <c r="Q11" s="64">
        <v>0.11</v>
      </c>
      <c r="R11" s="85">
        <v>24.97</v>
      </c>
      <c r="S11" s="65">
        <v>73600</v>
      </c>
      <c r="T11" s="65">
        <v>3600</v>
      </c>
      <c r="U11" s="65">
        <v>6</v>
      </c>
      <c r="V11" s="64" t="s">
        <v>454</v>
      </c>
      <c r="W11" s="65">
        <v>4</v>
      </c>
      <c r="X11" s="65">
        <v>3</v>
      </c>
      <c r="Y11" s="64" t="s">
        <v>455</v>
      </c>
      <c r="Z11" s="65">
        <v>793</v>
      </c>
      <c r="AA11" s="65">
        <v>170000</v>
      </c>
      <c r="AB11" s="65">
        <v>2</v>
      </c>
      <c r="AC11" s="64" t="s">
        <v>456</v>
      </c>
      <c r="AD11" s="64" t="s">
        <v>281</v>
      </c>
      <c r="AE11" s="64" t="s">
        <v>457</v>
      </c>
      <c r="AF11" s="65">
        <v>4</v>
      </c>
      <c r="AG11" s="64" t="s">
        <v>458</v>
      </c>
      <c r="AH11" s="65">
        <v>3</v>
      </c>
      <c r="AI11" s="64" t="s">
        <v>459</v>
      </c>
      <c r="AJ11" s="64" t="s">
        <v>281</v>
      </c>
      <c r="AK11" s="64" t="s">
        <v>460</v>
      </c>
    </row>
    <row r="12" spans="1:50" ht="15">
      <c r="A12" s="45" t="s">
        <v>170</v>
      </c>
      <c r="B12" s="45" t="s">
        <v>492</v>
      </c>
      <c r="C12" s="45"/>
      <c r="D12" s="45" t="str">
        <f>Summary!$C$60</f>
        <v>n/a</v>
      </c>
      <c r="E12" s="45" t="str">
        <f>Summary!$C$59</f>
        <v>n/a</v>
      </c>
      <c r="F12" s="82">
        <f>Summary!$C$53</f>
        <v>0.14000000000000001</v>
      </c>
      <c r="G12" s="82">
        <f>Summary!$C$54</f>
        <v>0.39</v>
      </c>
      <c r="H12" s="82">
        <f>Summary!$C$55</f>
        <v>0.05</v>
      </c>
      <c r="I12" s="82">
        <f>Summary!$C$56</f>
        <v>0.39</v>
      </c>
      <c r="J12" s="83">
        <f>Summary!$C$52</f>
        <v>5.3</v>
      </c>
      <c r="K12" s="67" t="s">
        <v>477</v>
      </c>
      <c r="L12" s="67">
        <v>0.41</v>
      </c>
      <c r="M12" s="67">
        <v>0.71</v>
      </c>
      <c r="N12" s="90">
        <v>0.02</v>
      </c>
      <c r="O12" s="90">
        <v>1.36</v>
      </c>
      <c r="P12" s="90">
        <v>0.01</v>
      </c>
      <c r="Q12" s="90">
        <v>0.06</v>
      </c>
      <c r="R12" s="90">
        <v>13.87</v>
      </c>
      <c r="S12" s="68">
        <v>65000</v>
      </c>
      <c r="T12" s="68">
        <v>2055</v>
      </c>
      <c r="U12" s="68">
        <v>6</v>
      </c>
      <c r="V12" s="67" t="s">
        <v>462</v>
      </c>
      <c r="W12" s="68">
        <v>2</v>
      </c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8">
        <v>3</v>
      </c>
      <c r="AL12" s="67" t="s">
        <v>462</v>
      </c>
      <c r="AM12" s="66"/>
      <c r="AN12" s="66"/>
      <c r="AO12" s="68">
        <v>2</v>
      </c>
      <c r="AP12" s="67" t="s">
        <v>462</v>
      </c>
      <c r="AQ12" s="67" t="s">
        <v>284</v>
      </c>
      <c r="AR12" s="67" t="s">
        <v>462</v>
      </c>
      <c r="AS12" s="68">
        <v>4</v>
      </c>
      <c r="AT12" s="67" t="s">
        <v>462</v>
      </c>
      <c r="AU12" s="68">
        <v>3</v>
      </c>
      <c r="AV12" s="67" t="s">
        <v>462</v>
      </c>
      <c r="AW12" s="67" t="s">
        <v>283</v>
      </c>
      <c r="AX12" s="67" t="s">
        <v>462</v>
      </c>
    </row>
    <row r="13" spans="1:50" s="73" customFormat="1" ht="15">
      <c r="A13" s="73" t="s">
        <v>171</v>
      </c>
      <c r="B13" s="74" t="s">
        <v>419</v>
      </c>
      <c r="C13" s="74"/>
      <c r="D13" s="45" t="str">
        <f>Summary!$D$60</f>
        <v>n/a</v>
      </c>
      <c r="E13" s="45" t="str">
        <f>Summary!$D$59</f>
        <v>n/a</v>
      </c>
      <c r="F13" s="45" t="str">
        <f>Summary!$D$53</f>
        <v>n/a</v>
      </c>
      <c r="G13" s="45" t="str">
        <f>Summary!$D$54</f>
        <v>n/a</v>
      </c>
      <c r="H13" s="45" t="str">
        <f>Summary!$D$55</f>
        <v>n/a</v>
      </c>
      <c r="I13" s="45" t="str">
        <f>Summary!$D$56</f>
        <v>n/a</v>
      </c>
      <c r="J13" t="str">
        <f>Summary!$D$52</f>
        <v>n/a</v>
      </c>
      <c r="K13" s="71" t="s">
        <v>461</v>
      </c>
      <c r="L13" s="71">
        <v>0.74</v>
      </c>
      <c r="M13" s="71">
        <v>1.27</v>
      </c>
      <c r="N13" s="71">
        <v>0.04</v>
      </c>
      <c r="O13" s="71">
        <v>2.4500000000000002</v>
      </c>
      <c r="P13" s="71">
        <v>0.01</v>
      </c>
      <c r="Q13" s="71">
        <v>0.11</v>
      </c>
      <c r="R13" s="71">
        <v>24.97</v>
      </c>
      <c r="S13" s="75">
        <v>55000</v>
      </c>
      <c r="T13" s="76"/>
      <c r="U13" s="76"/>
      <c r="V13" s="71" t="s">
        <v>462</v>
      </c>
      <c r="W13" s="75">
        <v>4</v>
      </c>
      <c r="X13" s="75">
        <v>99</v>
      </c>
      <c r="Y13" s="71" t="s">
        <v>463</v>
      </c>
      <c r="Z13" s="75">
        <v>280</v>
      </c>
      <c r="AA13" s="75">
        <v>84000</v>
      </c>
      <c r="AB13" s="75">
        <v>2</v>
      </c>
      <c r="AC13" s="71" t="s">
        <v>462</v>
      </c>
      <c r="AD13" s="71" t="s">
        <v>281</v>
      </c>
      <c r="AE13" s="71" t="s">
        <v>462</v>
      </c>
      <c r="AF13" s="75">
        <v>99</v>
      </c>
      <c r="AG13" s="71" t="s">
        <v>464</v>
      </c>
      <c r="AH13" s="75">
        <v>3</v>
      </c>
      <c r="AI13" s="71" t="s">
        <v>462</v>
      </c>
      <c r="AJ13" s="71" t="s">
        <v>283</v>
      </c>
      <c r="AK13" s="71" t="s">
        <v>462</v>
      </c>
    </row>
    <row r="14" spans="1:50" ht="15">
      <c r="A14" t="s">
        <v>172</v>
      </c>
      <c r="B14" s="45" t="s">
        <v>420</v>
      </c>
      <c r="C14" s="45"/>
      <c r="D14" s="45" t="str">
        <f>Summary!$E$60</f>
        <v>n/a</v>
      </c>
      <c r="E14" s="45" t="str">
        <f>Summary!$E$59</f>
        <v>n/a</v>
      </c>
      <c r="F14" s="45" t="str">
        <f>Summary!$E$53</f>
        <v>n/a</v>
      </c>
      <c r="G14" s="45" t="str">
        <f>Summary!$E$54</f>
        <v>n/a</v>
      </c>
      <c r="H14" s="45" t="str">
        <f>Summary!$E$55</f>
        <v>n/a</v>
      </c>
      <c r="I14" s="45" t="str">
        <f>Summary!$E$56</f>
        <v>n/a</v>
      </c>
      <c r="J14" s="83">
        <f>Summary!$E$52</f>
        <v>11.16</v>
      </c>
      <c r="K14" s="64" t="s">
        <v>465</v>
      </c>
      <c r="L14" s="64">
        <v>1.86</v>
      </c>
      <c r="M14" s="64">
        <v>3.18</v>
      </c>
      <c r="N14" s="64">
        <v>0.11</v>
      </c>
      <c r="O14" s="64">
        <v>6.13</v>
      </c>
      <c r="P14" s="64">
        <v>0.03</v>
      </c>
      <c r="Q14" s="64">
        <v>0.26</v>
      </c>
      <c r="R14" s="85">
        <v>62.42</v>
      </c>
      <c r="S14" s="65">
        <v>-77</v>
      </c>
      <c r="T14" s="65">
        <v>-77</v>
      </c>
      <c r="U14" s="65">
        <v>6</v>
      </c>
      <c r="V14" s="64" t="s">
        <v>462</v>
      </c>
      <c r="W14" s="65">
        <v>6</v>
      </c>
      <c r="X14" s="65">
        <v>3</v>
      </c>
      <c r="Y14" s="64" t="s">
        <v>462</v>
      </c>
      <c r="Z14" s="65">
        <v>800</v>
      </c>
      <c r="AA14" s="65">
        <v>30000</v>
      </c>
      <c r="AB14" s="65">
        <v>1</v>
      </c>
      <c r="AC14" s="64" t="s">
        <v>462</v>
      </c>
      <c r="AD14" s="64" t="s">
        <v>284</v>
      </c>
      <c r="AE14" s="64" t="s">
        <v>462</v>
      </c>
      <c r="AF14" s="65">
        <v>4</v>
      </c>
      <c r="AG14" s="64" t="s">
        <v>462</v>
      </c>
      <c r="AH14" s="65">
        <v>3</v>
      </c>
      <c r="AI14" s="64" t="s">
        <v>462</v>
      </c>
      <c r="AJ14" s="64" t="s">
        <v>281</v>
      </c>
      <c r="AK14" s="64" t="s">
        <v>462</v>
      </c>
    </row>
    <row r="15" spans="1:50" ht="15">
      <c r="A15" t="s">
        <v>173</v>
      </c>
      <c r="B15" s="45" t="s">
        <v>421</v>
      </c>
      <c r="C15" s="45"/>
      <c r="D15" s="45" t="str">
        <f>Summary!$F$60</f>
        <v>n/a</v>
      </c>
      <c r="E15" s="45" t="str">
        <f>Summary!$F$59</f>
        <v>n/a</v>
      </c>
      <c r="F15" s="82">
        <f>Summary!$F$53</f>
        <v>6.6481666666666675E-2</v>
      </c>
      <c r="G15" s="82">
        <f>Summary!$F$54</f>
        <v>0.14275666666666667</v>
      </c>
      <c r="H15" s="82">
        <f>Summary!$F$55</f>
        <v>9.4166666666666669E-3</v>
      </c>
      <c r="I15" s="82">
        <f>Summary!$F$56</f>
        <v>9.3413333333333334E-2</v>
      </c>
      <c r="J15" s="83">
        <f>Summary!$F$52</f>
        <v>1.38</v>
      </c>
      <c r="K15" s="70" t="s">
        <v>470</v>
      </c>
      <c r="L15" s="67">
        <v>1.24</v>
      </c>
      <c r="M15" s="67">
        <v>2.12</v>
      </c>
      <c r="N15" s="86">
        <v>7.0000000000000007E-2</v>
      </c>
      <c r="O15" s="86">
        <v>4.09</v>
      </c>
      <c r="P15" s="86">
        <v>0.02</v>
      </c>
      <c r="Q15" s="86">
        <v>0.18</v>
      </c>
      <c r="R15" s="86">
        <v>41.61</v>
      </c>
      <c r="S15" s="69">
        <f>AVERAGE(25500,24900)</f>
        <v>25200</v>
      </c>
      <c r="T15" s="66"/>
      <c r="U15" s="68">
        <v>6</v>
      </c>
      <c r="V15" s="67" t="s">
        <v>454</v>
      </c>
      <c r="W15" s="66"/>
      <c r="X15" s="66"/>
      <c r="Y15" s="67" t="s">
        <v>462</v>
      </c>
      <c r="Z15" s="66"/>
      <c r="AA15" s="66"/>
      <c r="AB15" s="66"/>
      <c r="AC15" s="67" t="s">
        <v>462</v>
      </c>
      <c r="AD15" s="67" t="s">
        <v>462</v>
      </c>
      <c r="AE15" s="67" t="s">
        <v>462</v>
      </c>
      <c r="AF15" s="66"/>
      <c r="AG15" s="67" t="s">
        <v>462</v>
      </c>
      <c r="AH15" s="66"/>
      <c r="AI15" s="67" t="s">
        <v>462</v>
      </c>
      <c r="AJ15" s="67" t="s">
        <v>462</v>
      </c>
      <c r="AK15" s="67" t="s">
        <v>462</v>
      </c>
    </row>
    <row r="16" spans="1:50" ht="15">
      <c r="A16" t="s">
        <v>174</v>
      </c>
      <c r="B16" s="45" t="s">
        <v>422</v>
      </c>
      <c r="C16" s="45"/>
      <c r="D16" s="45" t="str">
        <f>Summary!$G$60</f>
        <v>n/a</v>
      </c>
      <c r="E16" s="45" t="str">
        <f>Summary!$G$59</f>
        <v>n/a</v>
      </c>
      <c r="F16" s="45" t="str">
        <f>Summary!$G$53</f>
        <v>n/a</v>
      </c>
      <c r="G16" s="45" t="str">
        <f>Summary!$G$54</f>
        <v>n/a</v>
      </c>
      <c r="H16" s="45" t="str">
        <f>Summary!$G$55</f>
        <v>n/a</v>
      </c>
      <c r="I16" s="45" t="str">
        <f>Summary!$G$56</f>
        <v>n/a</v>
      </c>
      <c r="J16" s="83">
        <f>Summary!$G$52</f>
        <v>86.29</v>
      </c>
      <c r="K16" s="67" t="s">
        <v>466</v>
      </c>
      <c r="L16" s="67">
        <v>0.68</v>
      </c>
      <c r="M16" s="67">
        <v>1.1499999999999999</v>
      </c>
      <c r="N16" s="67">
        <v>0.04</v>
      </c>
      <c r="O16" s="67">
        <v>2.23</v>
      </c>
      <c r="P16" s="67">
        <v>0.01</v>
      </c>
      <c r="Q16" s="67">
        <v>0.1</v>
      </c>
      <c r="R16" s="86">
        <v>22.7</v>
      </c>
      <c r="S16" s="68">
        <v>46034</v>
      </c>
      <c r="T16" s="68">
        <v>2950</v>
      </c>
      <c r="U16" s="68">
        <v>4</v>
      </c>
      <c r="V16" s="67" t="s">
        <v>462</v>
      </c>
      <c r="W16" s="68">
        <v>2</v>
      </c>
      <c r="X16" s="68">
        <v>4</v>
      </c>
      <c r="Y16" s="67" t="s">
        <v>462</v>
      </c>
      <c r="Z16" s="68">
        <v>1000</v>
      </c>
      <c r="AA16" s="68">
        <v>125000</v>
      </c>
      <c r="AB16" s="68">
        <v>5</v>
      </c>
      <c r="AC16" s="67" t="s">
        <v>462</v>
      </c>
      <c r="AD16" s="67" t="s">
        <v>284</v>
      </c>
      <c r="AE16" s="67" t="s">
        <v>462</v>
      </c>
      <c r="AF16" s="68">
        <v>5</v>
      </c>
      <c r="AG16" s="67" t="s">
        <v>462</v>
      </c>
      <c r="AH16" s="68">
        <v>3</v>
      </c>
      <c r="AI16" s="67" t="s">
        <v>462</v>
      </c>
      <c r="AJ16" s="67" t="s">
        <v>284</v>
      </c>
      <c r="AK16" s="67" t="s">
        <v>462</v>
      </c>
    </row>
    <row r="17" spans="1:37" ht="15">
      <c r="A17" t="s">
        <v>398</v>
      </c>
      <c r="B17" s="45" t="s">
        <v>426</v>
      </c>
      <c r="C17" s="45"/>
      <c r="D17" s="45">
        <f>Summary!$H$60</f>
        <v>0</v>
      </c>
      <c r="E17" s="45">
        <f>Summary!$H$59</f>
        <v>0</v>
      </c>
      <c r="F17" s="82">
        <f>Summary!$H$53</f>
        <v>0.88488636363636353</v>
      </c>
      <c r="G17" s="82">
        <f>Summary!$H$54</f>
        <v>2.4050909090909092</v>
      </c>
      <c r="H17" s="45" t="str">
        <f>Summary!$H$55</f>
        <v>n/a</v>
      </c>
      <c r="I17" s="45" t="str">
        <f>Summary!$H$56</f>
        <v>n/a</v>
      </c>
      <c r="J17" s="83">
        <f>Summary!$H$52</f>
        <v>73.526190476190479</v>
      </c>
      <c r="K17" s="70" t="s">
        <v>469</v>
      </c>
      <c r="L17" s="67">
        <v>0.47</v>
      </c>
      <c r="M17" s="67">
        <v>0.79</v>
      </c>
      <c r="N17" s="86">
        <v>0.03</v>
      </c>
      <c r="O17" s="86">
        <v>1.53</v>
      </c>
      <c r="P17" s="67">
        <v>0.01</v>
      </c>
      <c r="Q17" s="67">
        <v>7.0000000000000007E-2</v>
      </c>
      <c r="R17" s="86">
        <v>15.6</v>
      </c>
      <c r="S17" s="69">
        <f>AVERAGE(40500,44000)</f>
        <v>42250</v>
      </c>
      <c r="T17" s="68">
        <v>3000</v>
      </c>
      <c r="U17" s="68">
        <v>6</v>
      </c>
      <c r="V17" s="67" t="s">
        <v>454</v>
      </c>
      <c r="W17" s="68">
        <v>2</v>
      </c>
      <c r="X17" s="68">
        <v>3</v>
      </c>
      <c r="Y17" s="67" t="s">
        <v>467</v>
      </c>
      <c r="Z17" s="68">
        <f>AVERAGE(1600,2250)</f>
        <v>1925</v>
      </c>
      <c r="AA17" s="68">
        <v>150000</v>
      </c>
      <c r="AB17" s="68">
        <v>2</v>
      </c>
      <c r="AC17" s="67" t="s">
        <v>456</v>
      </c>
      <c r="AD17" s="67" t="s">
        <v>281</v>
      </c>
      <c r="AE17" s="67" t="s">
        <v>457</v>
      </c>
      <c r="AF17" s="68">
        <v>4</v>
      </c>
      <c r="AG17" s="67" t="s">
        <v>468</v>
      </c>
      <c r="AH17" s="68">
        <v>3</v>
      </c>
      <c r="AI17" s="67" t="s">
        <v>467</v>
      </c>
      <c r="AJ17" s="67" t="s">
        <v>281</v>
      </c>
      <c r="AK17" s="67" t="s">
        <v>460</v>
      </c>
    </row>
    <row r="18" spans="1:37">
      <c r="A18" t="s">
        <v>399</v>
      </c>
      <c r="B18" s="45" t="s">
        <v>425</v>
      </c>
      <c r="C18" s="45"/>
      <c r="D18" s="45" t="str">
        <f>Summary!$I$60</f>
        <v>n/a</v>
      </c>
      <c r="E18" s="45" t="str">
        <f>Summary!$I$59</f>
        <v>n/a</v>
      </c>
      <c r="F18" s="84">
        <f>Summary!$I$53</f>
        <v>1.2516666666666667</v>
      </c>
      <c r="G18" s="84" t="str">
        <f>Summary!$I$54</f>
        <v>n/a</v>
      </c>
      <c r="H18" s="84" t="str">
        <f>Summary!$I$55</f>
        <v>n/a</v>
      </c>
      <c r="I18" s="84" t="str">
        <f>Summary!$I$56</f>
        <v>n/a</v>
      </c>
      <c r="J18" s="36">
        <f>Summary!$I$52</f>
        <v>19.942499999999999</v>
      </c>
      <c r="K18" s="36"/>
      <c r="L18" s="36"/>
      <c r="M18" s="36"/>
      <c r="N18" s="36"/>
      <c r="O18" s="36"/>
      <c r="P18" s="36"/>
      <c r="Q18" s="36"/>
      <c r="R18" s="36"/>
    </row>
    <row r="19" spans="1:37" ht="15">
      <c r="A19" t="s">
        <v>400</v>
      </c>
      <c r="B19" s="45" t="s">
        <v>425</v>
      </c>
      <c r="C19" s="45"/>
      <c r="D19" s="82">
        <f>Summary!$J$60</f>
        <v>7.4692999999999999E-3</v>
      </c>
      <c r="E19" s="82">
        <f>Summary!$J$59</f>
        <v>1.9430299999999998E-2</v>
      </c>
      <c r="F19" s="45" t="str">
        <f>Summary!$K$42</f>
        <v>n/a</v>
      </c>
      <c r="G19" s="45" t="str">
        <f>Summary!$K$43</f>
        <v>n/a</v>
      </c>
      <c r="H19" s="45" t="str">
        <f>Summary!$K$44</f>
        <v>n/a</v>
      </c>
      <c r="I19" s="45" t="str">
        <f>Summary!$K$45</f>
        <v>n/a</v>
      </c>
      <c r="J19" t="str">
        <f>Summary!$K$41</f>
        <v>n/a</v>
      </c>
      <c r="K19" s="67" t="s">
        <v>471</v>
      </c>
      <c r="L19" s="87">
        <v>1.08</v>
      </c>
      <c r="M19" s="87">
        <v>1.84</v>
      </c>
      <c r="N19" s="71">
        <v>0.06</v>
      </c>
      <c r="O19" s="71">
        <v>3.55</v>
      </c>
      <c r="P19" s="71">
        <v>0.02</v>
      </c>
      <c r="Q19" s="71">
        <v>0.15</v>
      </c>
      <c r="R19" s="71">
        <v>36.18</v>
      </c>
      <c r="S19" s="66"/>
      <c r="T19" s="66"/>
      <c r="U19" s="68">
        <v>6</v>
      </c>
      <c r="V19" s="67" t="s">
        <v>462</v>
      </c>
      <c r="W19" s="68">
        <v>4</v>
      </c>
      <c r="X19" s="68">
        <v>1</v>
      </c>
      <c r="Y19" s="67" t="s">
        <v>462</v>
      </c>
      <c r="Z19" s="66"/>
      <c r="AA19" s="68">
        <v>100000</v>
      </c>
      <c r="AB19" s="68">
        <v>2</v>
      </c>
      <c r="AC19" s="67" t="s">
        <v>462</v>
      </c>
      <c r="AD19" s="67" t="s">
        <v>472</v>
      </c>
      <c r="AE19" s="67" t="s">
        <v>462</v>
      </c>
      <c r="AF19" s="68">
        <v>2</v>
      </c>
      <c r="AG19" s="67" t="s">
        <v>462</v>
      </c>
      <c r="AH19" s="68">
        <v>3</v>
      </c>
      <c r="AI19" s="67" t="s">
        <v>462</v>
      </c>
      <c r="AJ19" s="67" t="s">
        <v>473</v>
      </c>
      <c r="AK19" s="67" t="s">
        <v>474</v>
      </c>
    </row>
    <row r="20" spans="1:37">
      <c r="A20" t="s">
        <v>401</v>
      </c>
      <c r="B20" s="45" t="s">
        <v>425</v>
      </c>
      <c r="C20" s="45"/>
      <c r="D20" s="45" t="str">
        <f>Summary!$K$60</f>
        <v>n/a</v>
      </c>
      <c r="E20" s="45" t="str">
        <f>Summary!$K$59</f>
        <v>n/a</v>
      </c>
      <c r="F20" s="84">
        <f>Summary!$K$53</f>
        <v>1.2516666666666667</v>
      </c>
      <c r="G20" s="84" t="str">
        <f>Summary!$K$54</f>
        <v>n/a</v>
      </c>
      <c r="H20" s="84" t="str">
        <f>Summary!$K$55</f>
        <v>n/a</v>
      </c>
      <c r="I20" s="84" t="str">
        <f>Summary!$K$56</f>
        <v>n/a</v>
      </c>
      <c r="J20" s="36">
        <f>Summary!$K$52</f>
        <v>19.942499999999999</v>
      </c>
      <c r="K20" s="36"/>
      <c r="L20" s="36"/>
      <c r="M20" s="36"/>
      <c r="N20" s="36"/>
      <c r="O20" s="36"/>
      <c r="P20" s="36"/>
      <c r="Q20" s="36"/>
      <c r="R20" s="36"/>
    </row>
    <row r="21" spans="1:37" ht="15">
      <c r="A21" t="s">
        <v>203</v>
      </c>
      <c r="B21" s="45" t="s">
        <v>423</v>
      </c>
      <c r="C21" s="45"/>
      <c r="D21" s="82">
        <f>Summary!$L$60</f>
        <v>0.39425769230769231</v>
      </c>
      <c r="E21" s="82">
        <f>Summary!$L$59</f>
        <v>0.72699999999999998</v>
      </c>
      <c r="F21" s="45" t="str">
        <f>Summary!$L$53</f>
        <v>n/a</v>
      </c>
      <c r="G21" s="45" t="str">
        <f>Summary!$L$54</f>
        <v>n/a</v>
      </c>
      <c r="H21" s="45" t="str">
        <f>Summary!$L$55</f>
        <v>n/a</v>
      </c>
      <c r="I21" s="45" t="str">
        <f>Summary!$L$56</f>
        <v>n/a</v>
      </c>
      <c r="J21" s="83">
        <f>Summary!$L$52</f>
        <v>41.908523146862905</v>
      </c>
      <c r="K21" s="70" t="s">
        <v>476</v>
      </c>
      <c r="L21" s="88">
        <f>AVERAGE(0.44,0.46)</f>
        <v>0.45</v>
      </c>
      <c r="M21" s="88">
        <f>AVERAGE(0.75,0.78)</f>
        <v>0.76500000000000001</v>
      </c>
      <c r="N21" s="71">
        <v>0.03</v>
      </c>
      <c r="O21" s="72">
        <f>AVERAGE(1.45,1.5)</f>
        <v>1.4750000000000001</v>
      </c>
      <c r="P21" s="71">
        <v>0.01</v>
      </c>
      <c r="Q21" s="71">
        <v>0.06</v>
      </c>
      <c r="R21" s="88">
        <f>AVERAGE(14.77,15.32)</f>
        <v>15.045</v>
      </c>
      <c r="S21" s="66"/>
      <c r="T21" s="66"/>
      <c r="U21" s="68">
        <v>99</v>
      </c>
      <c r="V21" s="67" t="s">
        <v>475</v>
      </c>
      <c r="W21" s="68">
        <v>2</v>
      </c>
      <c r="X21" s="66"/>
      <c r="Y21" s="67" t="s">
        <v>462</v>
      </c>
      <c r="Z21" s="66"/>
      <c r="AA21" s="66"/>
      <c r="AB21" s="66"/>
      <c r="AC21" s="67" t="s">
        <v>462</v>
      </c>
      <c r="AD21" s="67" t="s">
        <v>462</v>
      </c>
      <c r="AE21" s="67" t="s">
        <v>462</v>
      </c>
      <c r="AF21" s="66"/>
      <c r="AG21" s="67" t="s">
        <v>462</v>
      </c>
      <c r="AH21" s="66"/>
      <c r="AI21" s="67" t="s">
        <v>462</v>
      </c>
      <c r="AJ21" s="67" t="s">
        <v>462</v>
      </c>
      <c r="AK21" s="67" t="s">
        <v>462</v>
      </c>
    </row>
    <row r="22" spans="1:37" ht="15">
      <c r="A22" t="s">
        <v>402</v>
      </c>
      <c r="B22" s="45" t="s">
        <v>424</v>
      </c>
      <c r="C22" s="45"/>
      <c r="D22" s="82">
        <f>Summary!$M$60</f>
        <v>0.11433333333333333</v>
      </c>
      <c r="E22" s="82">
        <f>Summary!$M$59</f>
        <v>0.20526666666666668</v>
      </c>
      <c r="F22" s="82">
        <f>Summary!$M$53</f>
        <v>0.34066666666666667</v>
      </c>
      <c r="G22" s="82">
        <f>Summary!$M$54</f>
        <v>1.3</v>
      </c>
      <c r="H22" s="82">
        <f>Summary!$M$55</f>
        <v>0.12066666666666666</v>
      </c>
      <c r="I22" s="82">
        <f>Summary!$M$56</f>
        <v>0.9473666666666668</v>
      </c>
      <c r="J22">
        <f>Summary!$M$52</f>
        <v>0</v>
      </c>
      <c r="K22" s="67" t="s">
        <v>477</v>
      </c>
      <c r="L22" s="86">
        <v>0.99</v>
      </c>
      <c r="M22" s="86">
        <v>1.69</v>
      </c>
      <c r="N22" s="86">
        <v>0.06</v>
      </c>
      <c r="O22" s="86">
        <v>3.27</v>
      </c>
      <c r="P22" s="86">
        <v>0.02</v>
      </c>
      <c r="Q22" s="86">
        <v>0.14000000000000001</v>
      </c>
      <c r="R22" s="67">
        <v>33.29</v>
      </c>
      <c r="S22" s="68">
        <v>51.5</v>
      </c>
      <c r="T22" s="68">
        <v>3260</v>
      </c>
      <c r="U22" s="68">
        <v>6</v>
      </c>
      <c r="V22" s="67" t="s">
        <v>454</v>
      </c>
      <c r="W22" s="66"/>
      <c r="X22" s="66"/>
      <c r="Y22" s="67" t="s">
        <v>462</v>
      </c>
      <c r="Z22" s="66"/>
      <c r="AA22" s="66"/>
      <c r="AB22" s="66"/>
      <c r="AC22" s="67" t="s">
        <v>462</v>
      </c>
      <c r="AD22" s="67" t="s">
        <v>462</v>
      </c>
      <c r="AE22" s="67" t="s">
        <v>462</v>
      </c>
      <c r="AF22" s="66"/>
      <c r="AG22" s="67" t="s">
        <v>462</v>
      </c>
      <c r="AH22" s="66"/>
      <c r="AI22" s="67" t="s">
        <v>462</v>
      </c>
      <c r="AJ22" s="67" t="s">
        <v>462</v>
      </c>
      <c r="AK22" s="67" t="s">
        <v>462</v>
      </c>
    </row>
    <row r="25" spans="1:37" ht="33.75">
      <c r="D25" s="79" t="s">
        <v>481</v>
      </c>
      <c r="E25" s="78" t="s">
        <v>479</v>
      </c>
      <c r="G25" s="79" t="s">
        <v>487</v>
      </c>
      <c r="H25" s="78" t="s">
        <v>480</v>
      </c>
      <c r="J25" s="79" t="s">
        <v>482</v>
      </c>
      <c r="K25" s="78" t="s">
        <v>428</v>
      </c>
      <c r="M25" s="79" t="s">
        <v>483</v>
      </c>
      <c r="N25" s="78" t="s">
        <v>429</v>
      </c>
      <c r="P25" s="79" t="s">
        <v>484</v>
      </c>
      <c r="Q25" s="78" t="s">
        <v>430</v>
      </c>
      <c r="S25" s="79" t="s">
        <v>485</v>
      </c>
      <c r="T25" s="78" t="s">
        <v>431</v>
      </c>
      <c r="V25" s="79" t="s">
        <v>486</v>
      </c>
      <c r="W25" s="78" t="s">
        <v>432</v>
      </c>
    </row>
    <row r="26" spans="1:37" ht="15">
      <c r="C26" t="s">
        <v>169</v>
      </c>
      <c r="D26" s="82">
        <f>Summary!$B$60</f>
        <v>1.7395</v>
      </c>
      <c r="E26" s="85">
        <v>0.74</v>
      </c>
      <c r="F26" t="s">
        <v>169</v>
      </c>
      <c r="G26" s="82">
        <f>Summary!$B$59</f>
        <v>2.9129999999999994</v>
      </c>
      <c r="H26" s="85">
        <v>1.27</v>
      </c>
      <c r="I26" t="s">
        <v>173</v>
      </c>
      <c r="J26" s="82">
        <f>Summary!$F$53</f>
        <v>6.6481666666666675E-2</v>
      </c>
      <c r="K26" s="86">
        <v>7.0000000000000007E-2</v>
      </c>
      <c r="L26" t="s">
        <v>169</v>
      </c>
      <c r="M26" s="82">
        <f>Summary!$B$54</f>
        <v>15.470219430156359</v>
      </c>
      <c r="N26" s="85">
        <v>2.4500000000000002</v>
      </c>
      <c r="O26" t="s">
        <v>173</v>
      </c>
      <c r="P26" s="82">
        <f>Summary!$F$55</f>
        <v>9.4166666666666669E-3</v>
      </c>
      <c r="Q26" s="86">
        <v>0.02</v>
      </c>
      <c r="R26" t="s">
        <v>173</v>
      </c>
      <c r="S26" s="82">
        <f>Summary!$F$56</f>
        <v>9.3413333333333334E-2</v>
      </c>
      <c r="T26" s="86">
        <v>0.18</v>
      </c>
      <c r="U26" t="s">
        <v>169</v>
      </c>
      <c r="V26" s="83">
        <f>Summary!$B$52</f>
        <v>180.16380513052005</v>
      </c>
      <c r="W26" s="85">
        <v>24.97</v>
      </c>
    </row>
    <row r="27" spans="1:37" ht="15">
      <c r="C27" t="s">
        <v>400</v>
      </c>
      <c r="D27" s="82">
        <f>Summary!$J$60</f>
        <v>7.4692999999999999E-3</v>
      </c>
      <c r="E27" s="87">
        <v>1.08</v>
      </c>
      <c r="F27" t="s">
        <v>400</v>
      </c>
      <c r="G27" s="82">
        <f>Summary!$J$59</f>
        <v>1.9430299999999998E-2</v>
      </c>
      <c r="H27" s="87">
        <v>1.84</v>
      </c>
      <c r="I27" t="s">
        <v>398</v>
      </c>
      <c r="J27" s="82">
        <f>Summary!$H$53</f>
        <v>0.88488636363636353</v>
      </c>
      <c r="K27" s="86">
        <v>0.03</v>
      </c>
      <c r="L27" t="s">
        <v>173</v>
      </c>
      <c r="M27" s="82">
        <f>Summary!$F$54</f>
        <v>0.14275666666666667</v>
      </c>
      <c r="N27" s="86">
        <v>4.09</v>
      </c>
      <c r="O27" t="s">
        <v>402</v>
      </c>
      <c r="P27" s="82">
        <f>Summary!$M$55</f>
        <v>0.12066666666666666</v>
      </c>
      <c r="Q27" s="86">
        <v>0.02</v>
      </c>
      <c r="R27" t="s">
        <v>402</v>
      </c>
      <c r="S27" s="82">
        <f>Summary!$M$56</f>
        <v>0.9473666666666668</v>
      </c>
      <c r="T27" s="86">
        <v>0.14000000000000001</v>
      </c>
      <c r="U27" t="s">
        <v>172</v>
      </c>
      <c r="V27" s="83">
        <f>Summary!$E$52</f>
        <v>11.16</v>
      </c>
      <c r="W27" s="85">
        <v>62.42</v>
      </c>
    </row>
    <row r="28" spans="1:37" ht="15">
      <c r="C28" t="s">
        <v>203</v>
      </c>
      <c r="D28" s="82">
        <f>Summary!$L$60</f>
        <v>0.39425769230769231</v>
      </c>
      <c r="E28" s="88">
        <f>AVERAGE(0.44,0.46)</f>
        <v>0.45</v>
      </c>
      <c r="F28" t="s">
        <v>203</v>
      </c>
      <c r="G28" s="82">
        <f>Summary!$L$59</f>
        <v>0.72699999999999998</v>
      </c>
      <c r="H28" s="88">
        <f>AVERAGE(0.75,0.78)</f>
        <v>0.76500000000000001</v>
      </c>
      <c r="I28" t="s">
        <v>402</v>
      </c>
      <c r="J28" s="82">
        <f>Summary!$M$53</f>
        <v>0.34066666666666667</v>
      </c>
      <c r="K28" s="86">
        <v>0.06</v>
      </c>
      <c r="L28" t="s">
        <v>398</v>
      </c>
      <c r="M28" s="82">
        <f>Summary!$H$54</f>
        <v>2.4050909090909092</v>
      </c>
      <c r="N28" s="86">
        <v>1.53</v>
      </c>
      <c r="O28" s="45" t="s">
        <v>170</v>
      </c>
      <c r="P28" s="82">
        <f>Summary!$C$55</f>
        <v>0.05</v>
      </c>
      <c r="Q28" s="90">
        <v>0.01</v>
      </c>
      <c r="R28" s="45" t="s">
        <v>170</v>
      </c>
      <c r="S28" s="82">
        <f>Summary!$C$56</f>
        <v>0.39</v>
      </c>
      <c r="T28" s="90">
        <v>0.06</v>
      </c>
      <c r="U28" t="s">
        <v>173</v>
      </c>
      <c r="V28" s="83">
        <f>Summary!$F$52</f>
        <v>1.38</v>
      </c>
      <c r="W28" s="86">
        <v>41.61</v>
      </c>
    </row>
    <row r="29" spans="1:37" ht="15">
      <c r="C29" t="s">
        <v>402</v>
      </c>
      <c r="D29" s="82">
        <f>Summary!$M$60</f>
        <v>0.11433333333333333</v>
      </c>
      <c r="E29" s="86">
        <v>0.99</v>
      </c>
      <c r="F29" t="s">
        <v>402</v>
      </c>
      <c r="G29" s="82">
        <f>Summary!$M$59</f>
        <v>0.20526666666666668</v>
      </c>
      <c r="H29" s="86">
        <v>1.69</v>
      </c>
      <c r="I29" s="45" t="s">
        <v>170</v>
      </c>
      <c r="J29" s="82">
        <f>Summary!$C$53</f>
        <v>0.14000000000000001</v>
      </c>
      <c r="K29" s="90">
        <v>0.02</v>
      </c>
      <c r="L29" t="s">
        <v>402</v>
      </c>
      <c r="M29" s="82">
        <f>Summary!$M$54</f>
        <v>1.3</v>
      </c>
      <c r="N29" s="86">
        <v>3.27</v>
      </c>
      <c r="U29" t="s">
        <v>174</v>
      </c>
      <c r="V29" s="83">
        <f>Summary!$G$52</f>
        <v>86.29</v>
      </c>
      <c r="W29" s="86">
        <v>22.7</v>
      </c>
    </row>
    <row r="30" spans="1:37" ht="15">
      <c r="L30" s="45" t="s">
        <v>170</v>
      </c>
      <c r="M30" s="82">
        <f>Summary!$C$54</f>
        <v>0.39</v>
      </c>
      <c r="N30" s="90">
        <v>1.36</v>
      </c>
      <c r="U30" t="s">
        <v>398</v>
      </c>
      <c r="V30" s="83">
        <f>Summary!$H$52</f>
        <v>73.526190476190479</v>
      </c>
      <c r="W30" s="86">
        <v>15.6</v>
      </c>
    </row>
    <row r="31" spans="1:37" ht="15">
      <c r="U31" t="s">
        <v>203</v>
      </c>
      <c r="V31" s="83">
        <f>Summary!$L$52</f>
        <v>41.908523146862905</v>
      </c>
      <c r="W31" s="88">
        <f>AVERAGE(14.77,15.32)</f>
        <v>15.045</v>
      </c>
    </row>
    <row r="32" spans="1:37" ht="15">
      <c r="A32" s="45" t="s">
        <v>488</v>
      </c>
      <c r="U32" s="45" t="s">
        <v>170</v>
      </c>
      <c r="V32" s="83">
        <f>Summary!$C$52</f>
        <v>5.3</v>
      </c>
      <c r="W32" s="90">
        <v>13.87</v>
      </c>
    </row>
    <row r="33" spans="1:1">
      <c r="A33" s="45" t="s">
        <v>489</v>
      </c>
    </row>
    <row r="34" spans="1:1">
      <c r="A34" s="45" t="s">
        <v>490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X106"/>
  <sheetViews>
    <sheetView topLeftCell="A79" workbookViewId="0">
      <selection activeCell="I107" sqref="I107"/>
    </sheetView>
  </sheetViews>
  <sheetFormatPr defaultRowHeight="12.75"/>
  <cols>
    <col min="1" max="1" width="39.140625" customWidth="1"/>
    <col min="2" max="2" width="12.28515625" bestFit="1" customWidth="1"/>
    <col min="3" max="3" width="10.28515625" customWidth="1"/>
    <col min="4" max="7" width="10.5703125" bestFit="1" customWidth="1"/>
    <col min="9" max="9" width="24.85546875" customWidth="1"/>
  </cols>
  <sheetData>
    <row r="1" spans="1:15">
      <c r="A1" t="s">
        <v>0</v>
      </c>
      <c r="B1" t="s">
        <v>21</v>
      </c>
    </row>
    <row r="4" spans="1:15">
      <c r="A4" s="2" t="s">
        <v>1</v>
      </c>
      <c r="B4" s="2" t="s">
        <v>2</v>
      </c>
      <c r="I4" s="3" t="s">
        <v>68</v>
      </c>
      <c r="J4" s="128" t="s">
        <v>70</v>
      </c>
      <c r="K4" s="128"/>
      <c r="L4" s="128"/>
      <c r="M4" s="128"/>
    </row>
    <row r="5" spans="1:15">
      <c r="A5" t="s">
        <v>10</v>
      </c>
      <c r="B5" t="s">
        <v>12</v>
      </c>
      <c r="I5" s="2" t="s">
        <v>69</v>
      </c>
      <c r="J5" s="2" t="s">
        <v>14</v>
      </c>
      <c r="K5" s="2" t="s">
        <v>15</v>
      </c>
      <c r="L5" s="2" t="s">
        <v>16</v>
      </c>
      <c r="M5" s="2" t="s">
        <v>17</v>
      </c>
    </row>
    <row r="6" spans="1:15">
      <c r="A6" t="s">
        <v>11</v>
      </c>
      <c r="B6" t="s">
        <v>13</v>
      </c>
      <c r="I6" t="s">
        <v>71</v>
      </c>
      <c r="J6" s="4">
        <v>7.9100000000000004E-2</v>
      </c>
      <c r="K6" s="4">
        <v>0.12</v>
      </c>
      <c r="L6" s="4">
        <v>2.46E-2</v>
      </c>
      <c r="M6" s="4">
        <v>5.57E-2</v>
      </c>
      <c r="O6" s="4">
        <f>AVERAGE(J6:M6)</f>
        <v>6.9849999999999995E-2</v>
      </c>
    </row>
    <row r="7" spans="1:15">
      <c r="A7" t="s">
        <v>27</v>
      </c>
      <c r="I7" t="s">
        <v>100</v>
      </c>
      <c r="J7" s="4">
        <v>1.9900000000000001E-4</v>
      </c>
      <c r="K7" s="4"/>
      <c r="L7" s="4"/>
      <c r="M7" s="4"/>
      <c r="O7">
        <f t="shared" ref="O7:O38" si="0">AVERAGE(J7:M7)</f>
        <v>1.9900000000000001E-4</v>
      </c>
    </row>
    <row r="8" spans="1:15">
      <c r="A8" t="s">
        <v>28</v>
      </c>
      <c r="I8" t="s">
        <v>72</v>
      </c>
      <c r="J8" s="4">
        <v>0.107</v>
      </c>
      <c r="K8" s="4">
        <v>0.14799999999999999</v>
      </c>
      <c r="L8" s="4">
        <v>3.2599999999999997E-2</v>
      </c>
      <c r="M8" s="4">
        <v>5.7500000000000002E-2</v>
      </c>
      <c r="O8">
        <f t="shared" si="0"/>
        <v>8.6275000000000004E-2</v>
      </c>
    </row>
    <row r="9" spans="1:15">
      <c r="A9" t="s">
        <v>3</v>
      </c>
      <c r="B9">
        <v>40</v>
      </c>
      <c r="I9" t="s">
        <v>73</v>
      </c>
      <c r="J9" s="4">
        <v>8.2199999999999995E-2</v>
      </c>
      <c r="K9" s="4">
        <v>9.7199999999999995E-2</v>
      </c>
      <c r="L9" s="4">
        <v>1.78E-2</v>
      </c>
      <c r="M9" s="4">
        <v>2.9899999999999999E-2</v>
      </c>
      <c r="O9">
        <f t="shared" si="0"/>
        <v>5.6775000000000006E-2</v>
      </c>
    </row>
    <row r="10" spans="1:15">
      <c r="A10" t="s">
        <v>4</v>
      </c>
      <c r="B10">
        <v>20</v>
      </c>
      <c r="I10" t="s">
        <v>74</v>
      </c>
      <c r="J10" s="4">
        <v>0.188</v>
      </c>
      <c r="K10" s="4">
        <v>0.21</v>
      </c>
      <c r="L10" s="4">
        <v>6.2199999999999998E-2</v>
      </c>
      <c r="M10" s="4">
        <v>0.126</v>
      </c>
      <c r="O10" s="17">
        <f t="shared" si="0"/>
        <v>0.14655000000000001</v>
      </c>
    </row>
    <row r="11" spans="1:15">
      <c r="A11" t="s">
        <v>5</v>
      </c>
      <c r="B11">
        <v>0.6</v>
      </c>
      <c r="I11" t="s">
        <v>75</v>
      </c>
      <c r="J11" s="4">
        <v>3.9899999999999998E-2</v>
      </c>
      <c r="K11" s="4">
        <v>2.8799999999999999E-2</v>
      </c>
      <c r="L11" s="4">
        <v>1.2500000000000001E-2</v>
      </c>
      <c r="M11" s="4">
        <v>1.6500000000000001E-2</v>
      </c>
      <c r="O11">
        <f t="shared" si="0"/>
        <v>2.4424999999999999E-2</v>
      </c>
    </row>
    <row r="12" spans="1:15">
      <c r="A12" t="s">
        <v>6</v>
      </c>
      <c r="B12">
        <v>219</v>
      </c>
      <c r="I12" t="s">
        <v>76</v>
      </c>
      <c r="J12" s="4">
        <v>0.253</v>
      </c>
      <c r="K12" s="4">
        <v>0.24099999999999999</v>
      </c>
      <c r="L12" s="4">
        <v>6.5500000000000003E-2</v>
      </c>
      <c r="M12" s="4">
        <v>0.16700000000000001</v>
      </c>
      <c r="O12" s="17">
        <f t="shared" si="0"/>
        <v>0.18162500000000001</v>
      </c>
    </row>
    <row r="13" spans="1:15">
      <c r="A13" t="s">
        <v>7</v>
      </c>
      <c r="B13">
        <v>1676</v>
      </c>
      <c r="D13">
        <f>B13*2000/(1.7*62.4)</f>
        <v>31598.793363499248</v>
      </c>
      <c r="E13" t="s">
        <v>165</v>
      </c>
      <c r="I13" t="s">
        <v>77</v>
      </c>
      <c r="J13" s="4">
        <v>3.4299999999999999E-4</v>
      </c>
      <c r="K13" s="4">
        <v>1.9599999999999999E-2</v>
      </c>
      <c r="L13" s="4">
        <v>4.4900000000000001E-3</v>
      </c>
      <c r="M13" s="4">
        <v>2.5100000000000001E-3</v>
      </c>
      <c r="O13">
        <f t="shared" si="0"/>
        <v>6.7357500000000004E-3</v>
      </c>
    </row>
    <row r="14" spans="1:15">
      <c r="A14" t="s">
        <v>8</v>
      </c>
      <c r="B14">
        <v>1006</v>
      </c>
      <c r="I14" t="s">
        <v>102</v>
      </c>
      <c r="J14" s="4"/>
      <c r="K14" s="4">
        <v>8.6200000000000003E-4</v>
      </c>
      <c r="L14" s="4"/>
      <c r="M14" s="4"/>
      <c r="O14">
        <f t="shared" si="0"/>
        <v>8.6200000000000003E-4</v>
      </c>
    </row>
    <row r="15" spans="1:15">
      <c r="A15" t="s">
        <v>9</v>
      </c>
      <c r="B15">
        <v>367044</v>
      </c>
      <c r="D15">
        <f>B15/B13</f>
        <v>219</v>
      </c>
      <c r="E15">
        <f>D15*F64/2000</f>
        <v>87.584444157097536</v>
      </c>
      <c r="F15">
        <f>4*E15</f>
        <v>350.33777662839015</v>
      </c>
      <c r="I15" t="s">
        <v>78</v>
      </c>
      <c r="J15" s="10">
        <v>4.05</v>
      </c>
      <c r="K15" s="10">
        <v>4.83</v>
      </c>
      <c r="L15" s="10">
        <v>0.98199999999999998</v>
      </c>
      <c r="M15" s="10">
        <v>1.79</v>
      </c>
      <c r="O15" s="16">
        <f t="shared" si="0"/>
        <v>2.9129999999999994</v>
      </c>
    </row>
    <row r="16" spans="1:15">
      <c r="I16" t="s">
        <v>79</v>
      </c>
      <c r="J16" s="4">
        <v>0.193</v>
      </c>
      <c r="K16" s="4">
        <v>0.192</v>
      </c>
      <c r="L16" s="4">
        <v>3.0099999999999998E-2</v>
      </c>
      <c r="M16" s="4">
        <v>4.7899999999999998E-2</v>
      </c>
      <c r="O16" s="18">
        <f t="shared" si="0"/>
        <v>0.11575000000000001</v>
      </c>
    </row>
    <row r="17" spans="1:24">
      <c r="I17" t="s">
        <v>56</v>
      </c>
      <c r="J17" s="10">
        <v>2.5299999999999998</v>
      </c>
      <c r="K17" s="10">
        <v>2.77</v>
      </c>
      <c r="L17" s="10">
        <v>0.57799999999999996</v>
      </c>
      <c r="M17" s="10">
        <v>1.08</v>
      </c>
      <c r="O17" s="16">
        <f t="shared" si="0"/>
        <v>1.7395</v>
      </c>
      <c r="Q17" s="4">
        <f t="shared" ref="Q17:T18" si="1">J$17*1000000/B35</f>
        <v>0.69604049249954469</v>
      </c>
      <c r="R17" s="4">
        <f t="shared" si="1"/>
        <v>1.3103041466632419</v>
      </c>
      <c r="S17" s="4">
        <f t="shared" si="1"/>
        <v>0.42991717772017451</v>
      </c>
      <c r="T17" s="4">
        <f t="shared" si="1"/>
        <v>0.63916822907789328</v>
      </c>
      <c r="V17" s="4">
        <f>AVERAGE(Q17:T17)</f>
        <v>0.76885751149021364</v>
      </c>
      <c r="W17">
        <f>STDEV(Q17:T17)</f>
        <v>0.37866724038556143</v>
      </c>
      <c r="X17" s="4">
        <f>W17/V17</f>
        <v>0.49250639387215156</v>
      </c>
    </row>
    <row r="18" spans="1:24">
      <c r="B18" t="s">
        <v>14</v>
      </c>
      <c r="C18" t="s">
        <v>15</v>
      </c>
      <c r="D18" t="s">
        <v>16</v>
      </c>
      <c r="E18" t="s">
        <v>17</v>
      </c>
      <c r="I18" t="s">
        <v>80</v>
      </c>
      <c r="J18" s="4">
        <v>1.1900000000000001E-2</v>
      </c>
      <c r="K18" s="4">
        <v>1.7299999999999999E-2</v>
      </c>
      <c r="L18" s="4">
        <v>3.0100000000000001E-3</v>
      </c>
      <c r="M18" s="4">
        <v>4.6600000000000001E-3</v>
      </c>
      <c r="O18">
        <f t="shared" si="0"/>
        <v>9.2175E-3</v>
      </c>
      <c r="Q18" s="4">
        <f t="shared" si="1"/>
        <v>60.592997078124249</v>
      </c>
      <c r="R18" s="4">
        <f t="shared" si="1"/>
        <v>80.441411354726299</v>
      </c>
      <c r="S18" s="4">
        <f t="shared" si="1"/>
        <v>56.786921323587194</v>
      </c>
      <c r="T18" s="4">
        <f t="shared" si="1"/>
        <v>45.751080233838856</v>
      </c>
      <c r="V18" s="4">
        <f>AVERAGE(Q18:T18)</f>
        <v>60.893102497569146</v>
      </c>
      <c r="W18">
        <f>STDEV(Q18:T18)</f>
        <v>14.472594843432621</v>
      </c>
      <c r="X18" s="4">
        <f>W18/V18</f>
        <v>0.23767215414932039</v>
      </c>
    </row>
    <row r="19" spans="1:24">
      <c r="A19" t="s">
        <v>18</v>
      </c>
      <c r="B19" s="1">
        <v>39602</v>
      </c>
      <c r="C19" s="1" t="s">
        <v>22</v>
      </c>
      <c r="D19" s="1">
        <v>39605</v>
      </c>
      <c r="E19" s="1">
        <v>39607</v>
      </c>
      <c r="I19" t="s">
        <v>81</v>
      </c>
      <c r="J19" s="4">
        <v>1.09E-2</v>
      </c>
      <c r="K19" s="4">
        <v>1.6299999999999999E-2</v>
      </c>
      <c r="L19" s="4">
        <v>2.7899999999999999E-3</v>
      </c>
      <c r="M19" s="4">
        <v>4.4799999999999996E-3</v>
      </c>
      <c r="O19">
        <f t="shared" si="0"/>
        <v>8.6175000000000002E-3</v>
      </c>
    </row>
    <row r="20" spans="1:24">
      <c r="A20" t="s">
        <v>19</v>
      </c>
      <c r="B20">
        <v>7.51</v>
      </c>
      <c r="C20">
        <v>8.67</v>
      </c>
      <c r="D20">
        <v>7.57</v>
      </c>
      <c r="E20">
        <v>6.86</v>
      </c>
      <c r="I20" t="s">
        <v>82</v>
      </c>
      <c r="J20" s="4">
        <v>2.1700000000000001E-2</v>
      </c>
      <c r="K20" s="4">
        <v>6.6900000000000001E-2</v>
      </c>
      <c r="L20" s="4">
        <v>1.89E-2</v>
      </c>
      <c r="M20" s="4">
        <v>1.6400000000000001E-2</v>
      </c>
      <c r="O20">
        <f t="shared" si="0"/>
        <v>3.0974999999999999E-2</v>
      </c>
    </row>
    <row r="21" spans="1:24">
      <c r="A21" t="s">
        <v>20</v>
      </c>
      <c r="B21">
        <v>7.89</v>
      </c>
      <c r="C21">
        <v>8.89</v>
      </c>
      <c r="D21">
        <v>7.25</v>
      </c>
      <c r="E21">
        <v>7.18</v>
      </c>
      <c r="I21" t="s">
        <v>83</v>
      </c>
      <c r="J21" s="4">
        <v>4.3800000000000002E-4</v>
      </c>
      <c r="K21" s="4">
        <v>1.8599999999999998E-2</v>
      </c>
      <c r="L21" s="4">
        <v>4.3099999999999996E-3</v>
      </c>
      <c r="M21" s="4">
        <v>3.0699999999999998E-3</v>
      </c>
      <c r="O21">
        <f t="shared" si="0"/>
        <v>6.6045000000000001E-3</v>
      </c>
    </row>
    <row r="22" spans="1:24">
      <c r="A22" t="s">
        <v>23</v>
      </c>
      <c r="B22">
        <v>258</v>
      </c>
      <c r="C22">
        <v>175</v>
      </c>
      <c r="D22">
        <v>142</v>
      </c>
      <c r="E22">
        <v>174</v>
      </c>
      <c r="I22" t="s">
        <v>84</v>
      </c>
      <c r="J22" s="4">
        <v>4.1100000000000002E-4</v>
      </c>
      <c r="K22" s="4">
        <v>1.4500000000000001E-2</v>
      </c>
      <c r="L22" s="4">
        <v>3.6800000000000001E-3</v>
      </c>
      <c r="M22" s="4">
        <v>2.6700000000000001E-3</v>
      </c>
      <c r="O22">
        <f t="shared" si="0"/>
        <v>5.3152499999999997E-3</v>
      </c>
    </row>
    <row r="23" spans="1:24">
      <c r="A23" t="s">
        <v>25</v>
      </c>
      <c r="B23">
        <v>62.8</v>
      </c>
      <c r="C23">
        <v>63.7</v>
      </c>
      <c r="D23">
        <v>56.5</v>
      </c>
      <c r="E23">
        <v>55.6</v>
      </c>
      <c r="I23" t="s">
        <v>85</v>
      </c>
      <c r="J23" s="4">
        <v>1.8799999999999999E-3</v>
      </c>
      <c r="K23" s="4">
        <v>4.0300000000000002E-2</v>
      </c>
      <c r="L23" s="4">
        <v>9.6399999999999993E-3</v>
      </c>
      <c r="M23" s="4">
        <v>5.9199999999999999E-3</v>
      </c>
      <c r="O23">
        <f t="shared" si="0"/>
        <v>1.4435000000000002E-2</v>
      </c>
    </row>
    <row r="24" spans="1:24">
      <c r="A24" t="s">
        <v>24</v>
      </c>
      <c r="B24">
        <v>1671</v>
      </c>
      <c r="C24">
        <v>1739</v>
      </c>
      <c r="D24">
        <v>1693</v>
      </c>
      <c r="E24">
        <v>1602</v>
      </c>
      <c r="I24" t="s">
        <v>86</v>
      </c>
      <c r="J24" s="4">
        <v>4.6100000000000004E-3</v>
      </c>
      <c r="K24" s="4">
        <v>7.5800000000000006E-2</v>
      </c>
      <c r="L24" s="4">
        <v>1.77E-2</v>
      </c>
      <c r="M24" s="4">
        <v>1.1599999999999999E-2</v>
      </c>
      <c r="O24">
        <f t="shared" si="0"/>
        <v>2.74275E-2</v>
      </c>
    </row>
    <row r="25" spans="1:24">
      <c r="A25" t="s">
        <v>26</v>
      </c>
      <c r="B25">
        <v>36</v>
      </c>
      <c r="C25">
        <v>33</v>
      </c>
      <c r="D25">
        <v>35</v>
      </c>
      <c r="E25">
        <v>39</v>
      </c>
      <c r="I25" t="s">
        <v>87</v>
      </c>
      <c r="J25" s="10">
        <v>0.88700000000000001</v>
      </c>
      <c r="K25" s="10">
        <v>0.43</v>
      </c>
      <c r="L25" s="10">
        <v>0.22</v>
      </c>
      <c r="M25" s="10">
        <v>0.309</v>
      </c>
      <c r="O25" s="16">
        <f t="shared" si="0"/>
        <v>0.46149999999999997</v>
      </c>
    </row>
    <row r="26" spans="1:24">
      <c r="A26" t="s">
        <v>32</v>
      </c>
      <c r="I26" t="s">
        <v>88</v>
      </c>
      <c r="J26" s="11">
        <v>0.22900000000000001</v>
      </c>
      <c r="K26" s="11">
        <v>0.19400000000000001</v>
      </c>
      <c r="L26" s="11">
        <v>2.47E-2</v>
      </c>
      <c r="M26" s="11">
        <v>3.5400000000000001E-2</v>
      </c>
      <c r="O26" s="18">
        <f t="shared" si="0"/>
        <v>0.12077500000000001</v>
      </c>
    </row>
    <row r="27" spans="1:24">
      <c r="A27" t="s">
        <v>29</v>
      </c>
      <c r="B27">
        <f>20594*31+17438*30+13615*129+10463*68</f>
        <v>3629373</v>
      </c>
      <c r="C27">
        <f>21663*30+17559*30+8688*100+4181*15</f>
        <v>2108175</v>
      </c>
      <c r="D27">
        <f>19821*30+9438*30+5763*82+2518*49</f>
        <v>1473718</v>
      </c>
      <c r="E27">
        <f>20989*30+11435*30+7630*68+4232*46</f>
        <v>1686232</v>
      </c>
      <c r="I27" t="s">
        <v>89</v>
      </c>
      <c r="J27" s="4">
        <v>6.5299999999999997E-2</v>
      </c>
      <c r="K27" s="4">
        <v>7.3899999999999993E-2</v>
      </c>
      <c r="L27" s="4">
        <v>1.5800000000000002E-2</v>
      </c>
      <c r="M27" s="4">
        <v>3.32E-2</v>
      </c>
      <c r="O27">
        <f t="shared" si="0"/>
        <v>4.7050000000000002E-2</v>
      </c>
    </row>
    <row r="28" spans="1:24">
      <c r="A28" t="s">
        <v>30</v>
      </c>
      <c r="B28">
        <f>236*31+200*30+156*129+120*68</f>
        <v>41600</v>
      </c>
      <c r="C28">
        <f>353*30+286*30+142*100+68.1*15</f>
        <v>34391.5</v>
      </c>
      <c r="D28">
        <f>150*30+71.5*30+43.7*82+19.1*49</f>
        <v>11164.3</v>
      </c>
      <c r="E28">
        <f>293*30+160*30+107*68+59.1*46</f>
        <v>23584.6</v>
      </c>
      <c r="I28" t="s">
        <v>90</v>
      </c>
      <c r="J28" s="4">
        <v>0.126</v>
      </c>
      <c r="K28" s="4">
        <v>0.104</v>
      </c>
      <c r="L28" s="4">
        <v>3.9E-2</v>
      </c>
      <c r="M28" s="4">
        <v>5.1499999999999997E-2</v>
      </c>
      <c r="O28">
        <f t="shared" si="0"/>
        <v>8.0124999999999988E-2</v>
      </c>
    </row>
    <row r="29" spans="1:24">
      <c r="A29" t="s">
        <v>31</v>
      </c>
      <c r="B29">
        <f>(B27-B28)/B27</f>
        <v>0.98853796509755265</v>
      </c>
      <c r="C29">
        <f>(C27-C28)/C27</f>
        <v>0.98368660097003335</v>
      </c>
      <c r="D29">
        <f>(D27-D28)/D27</f>
        <v>0.99242439869771559</v>
      </c>
      <c r="E29">
        <f>(E27-E28)/E27</f>
        <v>0.98601343112928697</v>
      </c>
      <c r="G29">
        <f>AVERAGE(B29:E29)</f>
        <v>0.98766559897364714</v>
      </c>
      <c r="I29" t="s">
        <v>91</v>
      </c>
      <c r="J29" s="4">
        <v>2.0500000000000001E-2</v>
      </c>
      <c r="K29" s="4">
        <v>2.6499999999999999E-2</v>
      </c>
      <c r="L29" s="4">
        <v>5.8100000000000001E-3</v>
      </c>
      <c r="M29" s="4">
        <v>1.12E-2</v>
      </c>
      <c r="O29">
        <f t="shared" si="0"/>
        <v>1.6002499999999999E-2</v>
      </c>
    </row>
    <row r="30" spans="1:24">
      <c r="A30" t="s">
        <v>33</v>
      </c>
      <c r="I30" t="s">
        <v>93</v>
      </c>
      <c r="J30" s="4">
        <v>3.2399999999999998E-2</v>
      </c>
      <c r="K30" s="4">
        <v>4.7500000000000001E-2</v>
      </c>
      <c r="L30" s="4">
        <v>4.1999999999999997E-3</v>
      </c>
      <c r="M30" s="4">
        <v>1.67E-2</v>
      </c>
      <c r="O30">
        <f t="shared" si="0"/>
        <v>2.52E-2</v>
      </c>
    </row>
    <row r="31" spans="1:24">
      <c r="A31" t="s">
        <v>29</v>
      </c>
      <c r="B31">
        <f>19863*37+17377*31+14437*74+11121*116</f>
        <v>3631992</v>
      </c>
      <c r="C31">
        <f>21540*33+17195*31+10032*61+5197*50</f>
        <v>2115667</v>
      </c>
      <c r="D31">
        <f>18909*35+9298*50+4139*49+2812*8</f>
        <v>1352022</v>
      </c>
      <c r="E31">
        <f>20743*33+11149*31+7708*58+4371*52</f>
        <v>1704494</v>
      </c>
      <c r="I31" t="s">
        <v>92</v>
      </c>
      <c r="J31" s="4">
        <v>6.5000000000000002E-2</v>
      </c>
      <c r="K31" s="4">
        <v>5.96E-2</v>
      </c>
      <c r="L31" s="4">
        <v>1.9599999999999999E-2</v>
      </c>
      <c r="M31" s="4">
        <v>3.1099999999999999E-2</v>
      </c>
      <c r="O31">
        <f t="shared" si="0"/>
        <v>4.3824999999999996E-2</v>
      </c>
    </row>
    <row r="32" spans="1:24">
      <c r="A32" t="s">
        <v>30</v>
      </c>
      <c r="B32">
        <f>228*37+200*31+166*74+128*116</f>
        <v>41768</v>
      </c>
      <c r="C32">
        <f>351*33+280*31+163*61+84.6*50</f>
        <v>34436</v>
      </c>
      <c r="D32">
        <f>143*35+70.5*50+31.4*49+21.3*8</f>
        <v>10239</v>
      </c>
      <c r="E32">
        <f>290*33+156*31+108*58+61.1*52</f>
        <v>23847.200000000001</v>
      </c>
      <c r="I32" t="s">
        <v>97</v>
      </c>
      <c r="J32" s="4">
        <v>0.19600000000000001</v>
      </c>
      <c r="K32" s="4">
        <v>0.191</v>
      </c>
      <c r="L32" s="4">
        <v>2.7400000000000001E-2</v>
      </c>
      <c r="M32" s="4">
        <v>4.19E-2</v>
      </c>
      <c r="O32" s="18">
        <f t="shared" si="0"/>
        <v>0.114075</v>
      </c>
    </row>
    <row r="33" spans="1:15">
      <c r="A33" t="s">
        <v>31</v>
      </c>
      <c r="B33">
        <f>(B31-B32)/B31</f>
        <v>0.98849997466954775</v>
      </c>
      <c r="C33">
        <f>(C31-C32)/C31</f>
        <v>0.98372333642298149</v>
      </c>
      <c r="D33">
        <f>(D31-D32)/D31</f>
        <v>0.99242689837887255</v>
      </c>
      <c r="E33">
        <f>(E31-E32)/E31</f>
        <v>0.98600922033166449</v>
      </c>
      <c r="G33">
        <f>AVERAGE(B33:E33)</f>
        <v>0.9876648574507666</v>
      </c>
      <c r="I33" t="s">
        <v>101</v>
      </c>
      <c r="J33" s="4">
        <v>1.25E-4</v>
      </c>
      <c r="K33" s="4"/>
      <c r="L33" s="4">
        <v>3.4900000000000001E-5</v>
      </c>
      <c r="M33" s="4"/>
      <c r="O33">
        <f t="shared" si="0"/>
        <v>7.9950000000000005E-5</v>
      </c>
    </row>
    <row r="34" spans="1:15">
      <c r="A34" t="s">
        <v>34</v>
      </c>
      <c r="I34" t="s">
        <v>93</v>
      </c>
      <c r="J34" s="4">
        <v>4.3299999999999996E-3</v>
      </c>
      <c r="K34" s="4">
        <v>7.2899999999999996E-3</v>
      </c>
      <c r="L34" s="4">
        <v>1.8400000000000001E-3</v>
      </c>
      <c r="M34" s="4">
        <v>3.63E-3</v>
      </c>
      <c r="O34">
        <f t="shared" si="0"/>
        <v>4.2724999999999994E-3</v>
      </c>
    </row>
    <row r="35" spans="1:15">
      <c r="A35" t="s">
        <v>29</v>
      </c>
      <c r="B35">
        <f>20594*32+17391*31+14431*83+11062*112</f>
        <v>3634846</v>
      </c>
      <c r="C35">
        <f>21581*31+17418*31+10548*58+5332*55</f>
        <v>2114013</v>
      </c>
      <c r="D35">
        <f>19821*31+9400*53+4214*49+2812*9</f>
        <v>1344445</v>
      </c>
      <c r="E35">
        <f>20863*31+11333*30+7846*58+4507*55</f>
        <v>1689696</v>
      </c>
      <c r="G35">
        <f>AVERAGE(B35:E35)</f>
        <v>2195750</v>
      </c>
      <c r="I35" t="s">
        <v>94</v>
      </c>
      <c r="J35" s="4">
        <v>2.1600000000000001E-2</v>
      </c>
      <c r="K35" s="4">
        <v>7.0000000000000007E-2</v>
      </c>
      <c r="L35" s="4">
        <v>1.9699999999999999E-2</v>
      </c>
      <c r="M35" s="4">
        <v>1.7000000000000001E-2</v>
      </c>
      <c r="O35">
        <f t="shared" si="0"/>
        <v>3.2075000000000006E-2</v>
      </c>
    </row>
    <row r="36" spans="1:15">
      <c r="A36" t="s">
        <v>30</v>
      </c>
      <c r="B36">
        <f>236*32+200*31+166*83+127*112</f>
        <v>41754</v>
      </c>
      <c r="C36">
        <f>351*31+284*31+172*58+86.8*55</f>
        <v>34435</v>
      </c>
      <c r="D36">
        <f>150*31+71.2*53+31.9*49+21.3*9</f>
        <v>10178.400000000001</v>
      </c>
      <c r="E36">
        <f>291*31+158*30+110*58+63*55</f>
        <v>23606</v>
      </c>
      <c r="G36">
        <f>AVERAGE(B36:E36)</f>
        <v>27493.35</v>
      </c>
      <c r="I36" t="s">
        <v>95</v>
      </c>
      <c r="J36" s="4">
        <v>5.13E-4</v>
      </c>
      <c r="K36" s="4">
        <v>3.1099999999999999E-2</v>
      </c>
      <c r="L36" s="4">
        <v>5.7999999999999996E-3</v>
      </c>
      <c r="M36" s="4">
        <v>3.5999999999999999E-3</v>
      </c>
      <c r="O36">
        <f t="shared" si="0"/>
        <v>1.025325E-2</v>
      </c>
    </row>
    <row r="37" spans="1:15">
      <c r="A37" t="s">
        <v>31</v>
      </c>
      <c r="B37">
        <f>(B35-B36)/B35</f>
        <v>0.98851285584038495</v>
      </c>
      <c r="C37">
        <f>(C35-C36)/C35</f>
        <v>0.98371107462442287</v>
      </c>
      <c r="D37">
        <f>(D35-D36)/D35</f>
        <v>0.99242929238458999</v>
      </c>
      <c r="E37">
        <f>(E35-E36)/E35</f>
        <v>0.98602943961517342</v>
      </c>
      <c r="G37">
        <f>AVERAGE(B37:E37)</f>
        <v>0.98767066561614281</v>
      </c>
      <c r="I37" t="s">
        <v>96</v>
      </c>
      <c r="J37" s="4">
        <v>5.0299999999999997E-2</v>
      </c>
      <c r="K37" s="4">
        <v>5.7000000000000002E-2</v>
      </c>
      <c r="L37" s="4">
        <v>1.41E-2</v>
      </c>
      <c r="M37" s="4">
        <v>2.8299999999999999E-2</v>
      </c>
      <c r="O37">
        <f t="shared" si="0"/>
        <v>3.7425E-2</v>
      </c>
    </row>
    <row r="38" spans="1:15">
      <c r="A38" t="s">
        <v>44</v>
      </c>
      <c r="I38" t="s">
        <v>99</v>
      </c>
      <c r="J38" s="4">
        <v>6.0999999999999997E-4</v>
      </c>
      <c r="L38" s="4">
        <v>4.1200000000000004E-6</v>
      </c>
      <c r="M38" s="4">
        <v>6.05E-5</v>
      </c>
      <c r="O38">
        <f t="shared" si="0"/>
        <v>2.2487333333333335E-4</v>
      </c>
    </row>
    <row r="39" spans="1:15">
      <c r="A39" t="s">
        <v>41</v>
      </c>
      <c r="B39">
        <f>20594*31</f>
        <v>638414</v>
      </c>
      <c r="C39">
        <f>21663*30</f>
        <v>649890</v>
      </c>
      <c r="D39">
        <f>19821*30</f>
        <v>594630</v>
      </c>
      <c r="E39">
        <f>20989*30</f>
        <v>629670</v>
      </c>
    </row>
    <row r="40" spans="1:15">
      <c r="A40" t="s">
        <v>42</v>
      </c>
      <c r="B40">
        <f>17438*30</f>
        <v>523140</v>
      </c>
      <c r="C40">
        <f>17559*30</f>
        <v>526770</v>
      </c>
      <c r="D40">
        <f>19438*30</f>
        <v>583140</v>
      </c>
      <c r="E40">
        <f>11435*30</f>
        <v>343050</v>
      </c>
      <c r="I40" t="s">
        <v>175</v>
      </c>
      <c r="J40" s="4">
        <f>SUM(J6:J38)</f>
        <v>9.2732589999999977</v>
      </c>
      <c r="K40" s="4">
        <f>SUM(K6:K38)</f>
        <v>10.199052</v>
      </c>
      <c r="L40" s="4">
        <f>SUM(L6:L38)</f>
        <v>2.2678090200000001</v>
      </c>
      <c r="M40" s="4">
        <f>SUM(M6:M38)</f>
        <v>4.0044005</v>
      </c>
      <c r="O40">
        <f>AVERAGE(J40:M40)</f>
        <v>6.4361301299999996</v>
      </c>
    </row>
    <row r="41" spans="1:15">
      <c r="A41" t="s">
        <v>43</v>
      </c>
      <c r="B41">
        <f>13615*129</f>
        <v>1756335</v>
      </c>
      <c r="C41">
        <f>8688*100</f>
        <v>868800</v>
      </c>
      <c r="D41">
        <f>5763*82</f>
        <v>472566</v>
      </c>
      <c r="E41">
        <f>7630*68</f>
        <v>518840</v>
      </c>
    </row>
    <row r="42" spans="1:15">
      <c r="A42" t="s">
        <v>36</v>
      </c>
      <c r="B42">
        <v>9624</v>
      </c>
      <c r="C42">
        <v>15264</v>
      </c>
      <c r="D42">
        <v>4050</v>
      </c>
      <c r="E42">
        <v>8041</v>
      </c>
      <c r="G42">
        <f>AVERAGE(B42:E44)</f>
        <v>8704</v>
      </c>
      <c r="H42" s="19">
        <f>G42/1000000</f>
        <v>8.7039999999999999E-3</v>
      </c>
    </row>
    <row r="43" spans="1:15">
      <c r="A43" t="s">
        <v>37</v>
      </c>
      <c r="B43">
        <v>8259</v>
      </c>
      <c r="C43">
        <v>10398</v>
      </c>
      <c r="D43">
        <v>3767</v>
      </c>
      <c r="E43">
        <v>9169</v>
      </c>
      <c r="G43">
        <f>G42/(1-G$29)</f>
        <v>705668.64020422345</v>
      </c>
      <c r="J43" s="128" t="s">
        <v>70</v>
      </c>
      <c r="K43" s="128"/>
      <c r="L43" s="128"/>
      <c r="M43" s="128"/>
    </row>
    <row r="44" spans="1:15">
      <c r="A44" t="s">
        <v>35</v>
      </c>
      <c r="B44">
        <v>7093</v>
      </c>
      <c r="C44">
        <v>10625</v>
      </c>
      <c r="D44">
        <v>5359</v>
      </c>
      <c r="E44">
        <v>12799</v>
      </c>
      <c r="I44" s="3" t="s">
        <v>103</v>
      </c>
      <c r="J44" s="2" t="s">
        <v>14</v>
      </c>
      <c r="K44" s="2" t="s">
        <v>15</v>
      </c>
      <c r="L44" s="2" t="s">
        <v>16</v>
      </c>
      <c r="M44" s="2" t="s">
        <v>17</v>
      </c>
    </row>
    <row r="45" spans="1:15">
      <c r="A45" t="s">
        <v>38</v>
      </c>
      <c r="B45">
        <v>1092</v>
      </c>
      <c r="C45">
        <v>1829</v>
      </c>
      <c r="D45">
        <v>482</v>
      </c>
      <c r="E45">
        <v>923</v>
      </c>
      <c r="G45">
        <f>AVERAGE(B45:E47)</f>
        <v>990.83333333333337</v>
      </c>
      <c r="I45" t="s">
        <v>104</v>
      </c>
      <c r="J45">
        <v>72.5</v>
      </c>
      <c r="K45">
        <v>95.8</v>
      </c>
      <c r="L45">
        <v>30.7</v>
      </c>
      <c r="M45">
        <v>47.4</v>
      </c>
      <c r="O45">
        <f>AVERAGE(J45:M45)</f>
        <v>61.6</v>
      </c>
    </row>
    <row r="46" spans="1:15">
      <c r="A46" t="s">
        <v>39</v>
      </c>
      <c r="B46">
        <v>926</v>
      </c>
      <c r="C46">
        <v>1216</v>
      </c>
      <c r="D46">
        <v>450</v>
      </c>
      <c r="E46">
        <v>1028</v>
      </c>
      <c r="G46">
        <f>G45/(1-G$29)</f>
        <v>80330.883616998093</v>
      </c>
    </row>
    <row r="47" spans="1:15">
      <c r="A47" t="s">
        <v>40</v>
      </c>
      <c r="B47">
        <v>760</v>
      </c>
      <c r="C47">
        <v>1223</v>
      </c>
      <c r="D47">
        <v>594</v>
      </c>
      <c r="E47">
        <v>1367</v>
      </c>
      <c r="I47" t="s">
        <v>105</v>
      </c>
      <c r="J47">
        <f>(19.8+7)/757</f>
        <v>3.5402906208718631E-2</v>
      </c>
      <c r="K47">
        <f>(150+114)/1810</f>
        <v>0.14585635359116023</v>
      </c>
      <c r="L47">
        <f>(114+19.6)/657</f>
        <v>0.20334855403348553</v>
      </c>
      <c r="M47">
        <f>(47.8+10.7)/1015</f>
        <v>5.763546798029557E-2</v>
      </c>
    </row>
    <row r="48" spans="1:15">
      <c r="A48" t="s">
        <v>45</v>
      </c>
      <c r="B48">
        <v>436</v>
      </c>
      <c r="C48">
        <v>0</v>
      </c>
      <c r="D48">
        <v>180</v>
      </c>
      <c r="E48">
        <v>699</v>
      </c>
      <c r="G48">
        <f>AVERAGE(B48:E50)</f>
        <v>741.16666666666663</v>
      </c>
      <c r="I48" t="s">
        <v>106</v>
      </c>
      <c r="J48">
        <f>(5.3+3.4)/707</f>
        <v>1.2305516265912305E-2</v>
      </c>
      <c r="K48">
        <f>(148+138)/1448</f>
        <v>0.19751381215469613</v>
      </c>
      <c r="L48">
        <f>(110+50.9)/866</f>
        <v>0.18579676674364898</v>
      </c>
      <c r="M48">
        <f>(18.7+8.8)/783</f>
        <v>3.5121328224776503E-2</v>
      </c>
    </row>
    <row r="49" spans="1:16">
      <c r="A49" t="s">
        <v>46</v>
      </c>
      <c r="B49">
        <v>567</v>
      </c>
      <c r="C49">
        <v>1282</v>
      </c>
      <c r="D49">
        <v>360</v>
      </c>
      <c r="E49">
        <v>1257</v>
      </c>
      <c r="G49">
        <f>G48/(1-G$29)</f>
        <v>60089.392673640119</v>
      </c>
      <c r="I49" t="s">
        <v>107</v>
      </c>
      <c r="J49">
        <f>(7+2.4)/1367</f>
        <v>6.8763716166788591E-3</v>
      </c>
      <c r="K49">
        <f>(501+183)/2819</f>
        <v>0.24263923377084073</v>
      </c>
      <c r="L49">
        <f>(73.8+11.2)/769</f>
        <v>0.11053315994798439</v>
      </c>
      <c r="M49">
        <f>(46.5+12.6)/1001</f>
        <v>5.9040959040959046E-2</v>
      </c>
    </row>
    <row r="50" spans="1:16">
      <c r="A50" t="s">
        <v>47</v>
      </c>
      <c r="B50">
        <v>357</v>
      </c>
      <c r="C50">
        <v>2589</v>
      </c>
      <c r="D50">
        <v>915</v>
      </c>
      <c r="E50">
        <v>252</v>
      </c>
    </row>
    <row r="51" spans="1:16">
      <c r="A51" t="s">
        <v>65</v>
      </c>
      <c r="B51" s="21">
        <v>26.9</v>
      </c>
      <c r="C51">
        <v>38.6</v>
      </c>
      <c r="D51" s="21">
        <v>28.8</v>
      </c>
      <c r="E51" s="21">
        <v>30.2</v>
      </c>
      <c r="G51">
        <f>AVERAGE(B51:E53)</f>
        <v>29.641666666666666</v>
      </c>
      <c r="I51" t="s">
        <v>185</v>
      </c>
      <c r="J51">
        <f>AVERAGE(J47:J49)</f>
        <v>1.8194931363769932E-2</v>
      </c>
      <c r="K51">
        <f>AVERAGE(K47:K49)</f>
        <v>0.19533646650556569</v>
      </c>
      <c r="L51">
        <f>AVERAGE(L47:L49)</f>
        <v>0.16655949357503963</v>
      </c>
      <c r="M51">
        <f>AVERAGE(M47:M49)</f>
        <v>5.0599251748677042E-2</v>
      </c>
    </row>
    <row r="52" spans="1:16">
      <c r="A52" t="s">
        <v>66</v>
      </c>
      <c r="B52" s="21">
        <v>26.9</v>
      </c>
      <c r="C52">
        <v>29.9</v>
      </c>
      <c r="D52" s="21">
        <v>28.8</v>
      </c>
      <c r="E52" s="21">
        <v>30.2</v>
      </c>
      <c r="G52">
        <f>G51/(1-G$29)</f>
        <v>2403.1703366329875</v>
      </c>
    </row>
    <row r="53" spans="1:16">
      <c r="A53" t="s">
        <v>67</v>
      </c>
      <c r="B53" s="21">
        <v>26.9</v>
      </c>
      <c r="C53" s="21">
        <v>28.5</v>
      </c>
      <c r="D53" s="21">
        <v>28.8</v>
      </c>
      <c r="E53" s="21">
        <v>31.2</v>
      </c>
      <c r="I53" t="s">
        <v>183</v>
      </c>
      <c r="J53">
        <f>J45*J51</f>
        <v>1.31913252387332</v>
      </c>
      <c r="K53">
        <f>K45*K51</f>
        <v>18.713233491233193</v>
      </c>
      <c r="L53">
        <f>L45*L51</f>
        <v>5.1133764527537169</v>
      </c>
      <c r="M53">
        <f>M45*M51</f>
        <v>2.3984045328872918</v>
      </c>
      <c r="O53">
        <f>AVERAGE(J53:M53)</f>
        <v>6.8860367501868804</v>
      </c>
    </row>
    <row r="54" spans="1:16">
      <c r="A54" t="s">
        <v>196</v>
      </c>
      <c r="B54" s="15">
        <f t="shared" ref="B54:E56" si="2">B51*$B$74/$B$76</f>
        <v>12.263893510815308</v>
      </c>
      <c r="C54" s="15">
        <f t="shared" si="2"/>
        <v>17.598003327787023</v>
      </c>
      <c r="D54" s="15">
        <f t="shared" si="2"/>
        <v>13.130116472545756</v>
      </c>
      <c r="E54" s="15">
        <f t="shared" si="2"/>
        <v>13.768386023294507</v>
      </c>
      <c r="G54" s="15">
        <f>AVERAGE(B54:E56)</f>
        <v>13.513838047698281</v>
      </c>
      <c r="I54" t="s">
        <v>142</v>
      </c>
      <c r="J54">
        <f>J45-J53</f>
        <v>71.180867476126679</v>
      </c>
      <c r="K54">
        <f>K45-K53</f>
        <v>77.0867665087668</v>
      </c>
      <c r="L54">
        <f>L45-L53</f>
        <v>25.586623547246283</v>
      </c>
      <c r="M54">
        <f>M45-M53</f>
        <v>45.001595467112708</v>
      </c>
      <c r="O54">
        <f>AVERAGE(J54:M54)</f>
        <v>54.713963249813119</v>
      </c>
    </row>
    <row r="55" spans="1:16">
      <c r="A55" t="s">
        <v>197</v>
      </c>
      <c r="B55" s="15">
        <f t="shared" si="2"/>
        <v>12.263893510815308</v>
      </c>
      <c r="C55" s="15">
        <f t="shared" si="2"/>
        <v>13.631613976705491</v>
      </c>
      <c r="D55" s="15">
        <f t="shared" si="2"/>
        <v>13.130116472545756</v>
      </c>
      <c r="E55" s="15">
        <f t="shared" si="2"/>
        <v>13.768386023294507</v>
      </c>
      <c r="G55">
        <f>G54/(1-G$29)</f>
        <v>1095.6217508110458</v>
      </c>
    </row>
    <row r="56" spans="1:16">
      <c r="A56" t="s">
        <v>198</v>
      </c>
      <c r="B56" s="15">
        <f t="shared" si="2"/>
        <v>12.263893510815308</v>
      </c>
      <c r="C56" s="15">
        <f t="shared" si="2"/>
        <v>12.993344425956739</v>
      </c>
      <c r="D56" s="15">
        <f t="shared" si="2"/>
        <v>13.130116472545756</v>
      </c>
      <c r="E56" s="15">
        <f t="shared" si="2"/>
        <v>14.224292845257903</v>
      </c>
    </row>
    <row r="57" spans="1:16">
      <c r="B57" t="s">
        <v>199</v>
      </c>
    </row>
    <row r="58" spans="1:16">
      <c r="L58" t="s">
        <v>396</v>
      </c>
    </row>
    <row r="59" spans="1:16">
      <c r="J59" t="s">
        <v>393</v>
      </c>
      <c r="K59" t="s">
        <v>394</v>
      </c>
      <c r="L59" t="s">
        <v>392</v>
      </c>
      <c r="M59" t="s">
        <v>395</v>
      </c>
    </row>
    <row r="60" spans="1:16">
      <c r="A60" t="s">
        <v>177</v>
      </c>
      <c r="B60">
        <f>SUM(B39:B41)</f>
        <v>2917889</v>
      </c>
      <c r="C60">
        <f>SUM(C39:C41)</f>
        <v>2045460</v>
      </c>
      <c r="D60">
        <f>SUM(D39:D41)</f>
        <v>1650336</v>
      </c>
      <c r="E60">
        <f>SUM(E39:E41)</f>
        <v>1491560</v>
      </c>
      <c r="I60" t="s">
        <v>14</v>
      </c>
      <c r="J60">
        <v>757</v>
      </c>
      <c r="K60">
        <v>0.90500000000000003</v>
      </c>
      <c r="L60">
        <f>SUM(J60:J62)/SUM(K60:K62)/64.8</f>
        <v>12.078593200148818</v>
      </c>
      <c r="M60">
        <f>AVERAGE(L60:L69)</f>
        <v>14.045898379315581</v>
      </c>
      <c r="P60">
        <v>3.3</v>
      </c>
    </row>
    <row r="61" spans="1:16">
      <c r="J61">
        <v>707</v>
      </c>
      <c r="K61">
        <v>0.97699999999999998</v>
      </c>
      <c r="P61">
        <v>3.8</v>
      </c>
    </row>
    <row r="62" spans="1:16">
      <c r="A62" s="3" t="s">
        <v>176</v>
      </c>
      <c r="B62" s="128" t="s">
        <v>70</v>
      </c>
      <c r="C62" s="128"/>
      <c r="D62" s="128"/>
      <c r="E62" s="128"/>
      <c r="J62">
        <v>1367</v>
      </c>
      <c r="K62">
        <v>1.7350000000000001</v>
      </c>
      <c r="P62">
        <v>2.9</v>
      </c>
    </row>
    <row r="63" spans="1:16">
      <c r="A63" s="2" t="s">
        <v>69</v>
      </c>
      <c r="B63" s="2" t="s">
        <v>14</v>
      </c>
      <c r="C63" s="2" t="s">
        <v>15</v>
      </c>
      <c r="D63" s="2" t="s">
        <v>16</v>
      </c>
      <c r="E63" s="2" t="s">
        <v>17</v>
      </c>
      <c r="F63" s="12" t="s">
        <v>182</v>
      </c>
      <c r="G63" t="s">
        <v>178</v>
      </c>
      <c r="I63" t="s">
        <v>15</v>
      </c>
      <c r="J63">
        <v>1810</v>
      </c>
      <c r="K63">
        <v>1.1839999999999999</v>
      </c>
      <c r="L63">
        <f t="shared" ref="L63" si="3">SUM(J63:J65)/SUM(K63:K65)/64.8</f>
        <v>18.703802193364751</v>
      </c>
      <c r="P63">
        <v>12.9</v>
      </c>
    </row>
    <row r="64" spans="1:16">
      <c r="A64" s="12" t="s">
        <v>145</v>
      </c>
      <c r="B64" s="15">
        <f>(B$39*B42+B$40*B43+B$41*B44)*(B$27/B$60)/1000000/849.5*$G64*2.2045</f>
        <v>1183.8304547374219</v>
      </c>
      <c r="C64" s="15">
        <f>(C$39*C42+C$40*C43+C$41*C44)*(C$27/C$60)/1000000/849.5*$G64*2.2045</f>
        <v>1053.9411760603066</v>
      </c>
      <c r="D64" s="15">
        <f>(D$39*D42+D$40*D43+D$41*D44)*(D$27/D$60)/1000000/849.5*$G64*2.2045</f>
        <v>264.63667795530927</v>
      </c>
      <c r="E64" s="15">
        <f>(E$39*E42+E$40*E43+E$41*E44)*(E$27/E$60)/1000000/849.5*$G64*2.2045</f>
        <v>697.02344127792276</v>
      </c>
      <c r="F64" s="15">
        <f>AVERAGE(B64:E64)</f>
        <v>799.85793750774008</v>
      </c>
      <c r="G64">
        <v>16</v>
      </c>
      <c r="J64">
        <v>1448</v>
      </c>
      <c r="K64">
        <v>1.181</v>
      </c>
      <c r="P64">
        <v>14</v>
      </c>
    </row>
    <row r="65" spans="1:16">
      <c r="A65" s="12" t="s">
        <v>146</v>
      </c>
      <c r="B65" s="15">
        <f>(B$39*B45+B$40*B46+B$41*B47)*(B$27/B$60)/1000000/849.5*$G65*2.2045</f>
        <v>243.67379057241223</v>
      </c>
      <c r="C65" s="15">
        <f>(C$39*C45+C$40*C46+C$41*C47)*(C$27/C$60)/1000000/849.5*$G65*2.2045</f>
        <v>232.02961267828965</v>
      </c>
      <c r="D65" s="15">
        <f>(D$39*D45+D$40*D46+D$41*D47)*(D$27/D$60)/1000000/849.5*$G65*2.2045</f>
        <v>57.682780629738019</v>
      </c>
      <c r="E65" s="15">
        <f>(E$39*E45+E$40*E46+E$41*E47)*(E$27/E$60)/1000000/849.5*$G65*2.2045</f>
        <v>144.61297852319976</v>
      </c>
      <c r="F65" s="15">
        <f>AVERAGE(B65:E65)</f>
        <v>169.4997906009099</v>
      </c>
      <c r="G65">
        <v>30</v>
      </c>
      <c r="J65">
        <v>2819</v>
      </c>
      <c r="K65">
        <v>2.649</v>
      </c>
    </row>
    <row r="66" spans="1:16">
      <c r="A66" s="12" t="s">
        <v>144</v>
      </c>
      <c r="B66" s="15">
        <f>(B$39*B48+B$40*B49+B$41*B50)*(B$27/B$60)/1000000/849.5*$G66*2.2045</f>
        <v>170.71026958907788</v>
      </c>
      <c r="C66" s="15">
        <f>(C$39*C48+C$40*C49+C$41*C50)*(C$27/C$60)/1000000/849.5*$G66*2.2045</f>
        <v>344.18174113801831</v>
      </c>
      <c r="D66" s="15">
        <f>(D$39*D48+D$40*D49+D$41*D50)*(D$27/D$60)/1000000/849.5*$G66*2.2045</f>
        <v>76.406955954324417</v>
      </c>
      <c r="E66" s="15">
        <f>(E$39*E48+E$40*E49+E$41*E50)*(E$27/E$60)/1000000/849.5*$G66*2.2045</f>
        <v>129.35625384065955</v>
      </c>
      <c r="F66" s="15">
        <f>AVERAGE(B66:E66)</f>
        <v>180.16380513052005</v>
      </c>
      <c r="G66">
        <v>44</v>
      </c>
      <c r="I66" t="s">
        <v>16</v>
      </c>
      <c r="J66">
        <v>657</v>
      </c>
      <c r="K66">
        <v>0.36699999999999999</v>
      </c>
      <c r="L66">
        <f t="shared" ref="L66" si="4">SUM(J66:J68)/SUM(K66:K68)/64.8</f>
        <v>14.743797569975145</v>
      </c>
      <c r="P66">
        <f>AVERAGE(P60:P64)</f>
        <v>7.38</v>
      </c>
    </row>
    <row r="67" spans="1:16">
      <c r="A67" s="12" t="s">
        <v>54</v>
      </c>
      <c r="B67" s="15">
        <f>(B$39*B51+B$40*B52+B$41*B53)*(B$27/B$60)/1000000/849.5*$G67*2.2045</f>
        <v>23.30872034871312</v>
      </c>
      <c r="C67" s="15">
        <f>(C$39*C51+C$40*C52+C$41*C53)*(C$27/C$60)/1000000/849.5*$G67*2.2045</f>
        <v>16.141133918703758</v>
      </c>
      <c r="D67" s="15">
        <f>(D$39*D51+D$40*D52+D$41*D53)*(D$27/D$60)/1000000/849.5*$G67*2.2045</f>
        <v>10.133078873004825</v>
      </c>
      <c r="E67" s="15">
        <f>(E$39*E51+E$40*E52+E$41*E53)*(E$27/E$60)/1000000/849.5*$G67*2.2045</f>
        <v>12.297944580203726</v>
      </c>
      <c r="F67" s="15">
        <f>AVERAGE(B67:E67)</f>
        <v>15.470219430156359</v>
      </c>
      <c r="G67">
        <v>92</v>
      </c>
      <c r="J67">
        <v>866</v>
      </c>
      <c r="K67">
        <v>0.77800000000000002</v>
      </c>
    </row>
    <row r="68" spans="1:16">
      <c r="A68" s="12" t="s">
        <v>200</v>
      </c>
      <c r="B68" s="15">
        <f>(B$39*B54+B$40*B55+B$41*B56)*(B$27/B$60)/1000000/849.5*$G68*2.2045</f>
        <v>9.0095126110955803</v>
      </c>
      <c r="C68" s="15">
        <f>(C$39*C54+C$40*C55+C$41*C56)*(C$27/C$60)/1000000/849.5*$G68*2.2045</f>
        <v>6.2390276009284662</v>
      </c>
      <c r="D68" s="15">
        <f>(D$39*D54+D$40*D55+D$41*D56)*(D$27/D$60)/1000000/849.5*$G68*2.2045</f>
        <v>3.9167359052640367</v>
      </c>
      <c r="E68" s="15">
        <f>(E$39*E54+E$40*E55+E$41*E56)*(E$27/E$60)/1000000/849.5*$G68*2.2045</f>
        <v>4.7535207908578814</v>
      </c>
      <c r="F68" s="15">
        <f>AVERAGE(B68:E68)</f>
        <v>5.979699227036491</v>
      </c>
      <c r="G68">
        <v>78</v>
      </c>
      <c r="J68">
        <v>769</v>
      </c>
      <c r="K68">
        <v>1.254</v>
      </c>
    </row>
    <row r="69" spans="1:16">
      <c r="B69" s="14"/>
      <c r="C69" s="14"/>
      <c r="D69" s="14"/>
      <c r="E69" s="14"/>
      <c r="F69" s="14"/>
      <c r="G69" s="14"/>
      <c r="I69" t="s">
        <v>17</v>
      </c>
      <c r="J69">
        <v>1015</v>
      </c>
      <c r="K69">
        <v>0.70299999999999996</v>
      </c>
      <c r="L69">
        <f t="shared" ref="L69" si="5">SUM(J69:J71)/SUM(K69:K71)/64.8</f>
        <v>10.657400553773611</v>
      </c>
    </row>
    <row r="70" spans="1:16">
      <c r="J70">
        <v>783</v>
      </c>
      <c r="K70">
        <v>1.0960000000000001</v>
      </c>
    </row>
    <row r="71" spans="1:16">
      <c r="A71" s="3" t="s">
        <v>98</v>
      </c>
      <c r="E71" t="s">
        <v>60</v>
      </c>
      <c r="G71" t="s">
        <v>61</v>
      </c>
      <c r="J71">
        <v>1001</v>
      </c>
      <c r="K71">
        <v>2.254</v>
      </c>
    </row>
    <row r="72" spans="1:16">
      <c r="A72" t="s">
        <v>48</v>
      </c>
      <c r="B72" t="s">
        <v>50</v>
      </c>
      <c r="E72" t="s">
        <v>59</v>
      </c>
      <c r="G72" t="s">
        <v>63</v>
      </c>
    </row>
    <row r="73" spans="1:16">
      <c r="A73" t="s">
        <v>49</v>
      </c>
      <c r="B73">
        <v>128</v>
      </c>
      <c r="C73" t="s">
        <v>51</v>
      </c>
      <c r="E73">
        <f>0.02*B73</f>
        <v>2.56</v>
      </c>
    </row>
    <row r="74" spans="1:16">
      <c r="A74" t="s">
        <v>52</v>
      </c>
      <c r="B74">
        <v>274</v>
      </c>
      <c r="E74">
        <f t="shared" ref="E74:E79" si="6">0.02*B74</f>
        <v>5.48</v>
      </c>
      <c r="G74" t="s">
        <v>62</v>
      </c>
    </row>
    <row r="75" spans="1:16">
      <c r="A75" t="s">
        <v>53</v>
      </c>
      <c r="B75">
        <v>226</v>
      </c>
      <c r="E75">
        <f t="shared" si="6"/>
        <v>4.5200000000000005</v>
      </c>
    </row>
    <row r="76" spans="1:16">
      <c r="A76" t="s">
        <v>54</v>
      </c>
      <c r="B76">
        <v>601</v>
      </c>
      <c r="E76">
        <f>0.02*B76</f>
        <v>12.02</v>
      </c>
      <c r="G76" t="s">
        <v>64</v>
      </c>
    </row>
    <row r="77" spans="1:16">
      <c r="A77" t="s">
        <v>55</v>
      </c>
      <c r="B77">
        <f>393+73</f>
        <v>466</v>
      </c>
      <c r="E77">
        <f t="shared" si="6"/>
        <v>9.32</v>
      </c>
    </row>
    <row r="78" spans="1:16">
      <c r="A78" t="s">
        <v>56</v>
      </c>
      <c r="B78">
        <v>113</v>
      </c>
      <c r="C78" t="s">
        <v>58</v>
      </c>
      <c r="E78">
        <f t="shared" si="6"/>
        <v>2.2600000000000002</v>
      </c>
    </row>
    <row r="79" spans="1:16">
      <c r="A79" t="s">
        <v>57</v>
      </c>
      <c r="B79">
        <v>65.8</v>
      </c>
      <c r="C79" t="s">
        <v>58</v>
      </c>
      <c r="E79">
        <f t="shared" si="6"/>
        <v>1.3160000000000001</v>
      </c>
    </row>
    <row r="81" spans="1:9">
      <c r="A81" s="3" t="s">
        <v>497</v>
      </c>
    </row>
    <row r="82" spans="1:9">
      <c r="B82" s="2" t="s">
        <v>14</v>
      </c>
      <c r="C82" s="2" t="s">
        <v>15</v>
      </c>
      <c r="D82" s="2" t="s">
        <v>16</v>
      </c>
      <c r="E82" s="2" t="s">
        <v>17</v>
      </c>
      <c r="F82" s="99" t="s">
        <v>186</v>
      </c>
      <c r="G82" s="99" t="s">
        <v>188</v>
      </c>
    </row>
    <row r="83" spans="1:9">
      <c r="A83" s="45" t="s">
        <v>494</v>
      </c>
      <c r="B83">
        <f>B31-B32</f>
        <v>3590224</v>
      </c>
      <c r="C83">
        <f t="shared" ref="C83:E83" si="7">C31-C32</f>
        <v>2081231</v>
      </c>
      <c r="D83">
        <f t="shared" si="7"/>
        <v>1341783</v>
      </c>
      <c r="E83">
        <f t="shared" si="7"/>
        <v>1680646.8</v>
      </c>
      <c r="F83">
        <f>AVERAGE(B83:E83)</f>
        <v>2173471.2000000002</v>
      </c>
    </row>
    <row r="84" spans="1:9">
      <c r="A84" s="45" t="s">
        <v>495</v>
      </c>
      <c r="B84">
        <f>B83/849.5*18*2.2046</f>
        <v>167710.58381071218</v>
      </c>
      <c r="C84">
        <f t="shared" ref="C84:E84" si="8">C83/849.5*18*2.2046</f>
        <v>97220.804622483818</v>
      </c>
      <c r="D84">
        <f t="shared" si="8"/>
        <v>62678.877495467925</v>
      </c>
      <c r="E84">
        <f t="shared" si="8"/>
        <v>78508.26466749853</v>
      </c>
      <c r="F84">
        <f t="shared" ref="F84:F106" si="9">AVERAGE(B84:E84)</f>
        <v>101529.63264904061</v>
      </c>
    </row>
    <row r="85" spans="1:9">
      <c r="A85" s="45" t="s">
        <v>496</v>
      </c>
    </row>
    <row r="86" spans="1:9">
      <c r="A86" s="91" t="s">
        <v>145</v>
      </c>
      <c r="B86">
        <f>B64/B84</f>
        <v>7.0587701016744482E-3</v>
      </c>
      <c r="C86">
        <f t="shared" ref="C86:E86" si="10">C64/C84</f>
        <v>1.0840695879373193E-2</v>
      </c>
      <c r="D86">
        <f t="shared" si="10"/>
        <v>4.2221030198641343E-3</v>
      </c>
      <c r="E86">
        <f t="shared" si="10"/>
        <v>8.8783447733813171E-3</v>
      </c>
      <c r="F86">
        <f t="shared" si="9"/>
        <v>7.7499784435732738E-3</v>
      </c>
      <c r="G86">
        <f>STDEV(B86:E86)</f>
        <v>2.8136227429729293E-3</v>
      </c>
      <c r="H86">
        <f>G86/F86</f>
        <v>0.36304910567927406</v>
      </c>
    </row>
    <row r="87" spans="1:9">
      <c r="A87" s="91" t="s">
        <v>146</v>
      </c>
      <c r="B87">
        <f>B65/B84</f>
        <v>1.4529422355802929E-3</v>
      </c>
      <c r="C87">
        <f t="shared" ref="C87:E87" si="11">C65/C84</f>
        <v>2.3866251012762056E-3</v>
      </c>
      <c r="D87">
        <f t="shared" si="11"/>
        <v>9.2029058168613257E-4</v>
      </c>
      <c r="E87">
        <f t="shared" si="11"/>
        <v>1.8420096168941023E-3</v>
      </c>
      <c r="F87">
        <f t="shared" si="9"/>
        <v>1.6504668838591833E-3</v>
      </c>
      <c r="G87">
        <f t="shared" ref="G87:G106" si="12">STDEV(B87:E87)</f>
        <v>6.193520696614874E-4</v>
      </c>
      <c r="H87">
        <f t="shared" ref="H87:H106" si="13">G87/F87</f>
        <v>0.37525870753207435</v>
      </c>
    </row>
    <row r="88" spans="1:9">
      <c r="A88" s="91" t="s">
        <v>193</v>
      </c>
      <c r="B88">
        <f>B66/B84</f>
        <v>1.0178860851247846E-3</v>
      </c>
      <c r="C88">
        <f t="shared" ref="C88:E88" si="14">C66/C84</f>
        <v>3.5402066715504322E-3</v>
      </c>
      <c r="D88">
        <f t="shared" si="14"/>
        <v>1.2190224044750821E-3</v>
      </c>
      <c r="E88">
        <f t="shared" si="14"/>
        <v>1.6476768960378189E-3</v>
      </c>
      <c r="F88">
        <f t="shared" si="9"/>
        <v>1.8561980142970296E-3</v>
      </c>
      <c r="G88">
        <f t="shared" si="12"/>
        <v>1.1529853804810278E-3</v>
      </c>
      <c r="H88">
        <f t="shared" si="13"/>
        <v>0.62115430121159831</v>
      </c>
    </row>
    <row r="89" spans="1:9">
      <c r="A89" s="91" t="s">
        <v>52</v>
      </c>
    </row>
    <row r="90" spans="1:9">
      <c r="A90" s="91" t="s">
        <v>54</v>
      </c>
      <c r="B90">
        <f>B67/B84</f>
        <v>1.3898180913269424E-4</v>
      </c>
      <c r="C90">
        <f t="shared" ref="C90:E90" si="15">C67/C84</f>
        <v>1.6602551255753413E-4</v>
      </c>
      <c r="D90">
        <f t="shared" si="15"/>
        <v>1.6166656580181274E-4</v>
      </c>
      <c r="E90">
        <f t="shared" si="15"/>
        <v>1.5664522241433425E-4</v>
      </c>
      <c r="F90">
        <f t="shared" si="9"/>
        <v>1.5582977747659386E-4</v>
      </c>
      <c r="G90">
        <f t="shared" si="12"/>
        <v>1.1867885230846844E-5</v>
      </c>
      <c r="H90">
        <f t="shared" si="13"/>
        <v>7.6159290111477179E-2</v>
      </c>
    </row>
    <row r="91" spans="1:9">
      <c r="A91" s="92" t="s">
        <v>339</v>
      </c>
    </row>
    <row r="92" spans="1:9">
      <c r="A92" s="91" t="s">
        <v>167</v>
      </c>
    </row>
    <row r="93" spans="1:9">
      <c r="A93" s="91" t="s">
        <v>168</v>
      </c>
      <c r="B93" s="13"/>
    </row>
    <row r="94" spans="1:9">
      <c r="A94" s="93" t="s">
        <v>78</v>
      </c>
      <c r="B94" s="95">
        <f>J15/B84</f>
        <v>2.414874427108943E-5</v>
      </c>
      <c r="C94" s="95">
        <f t="shared" ref="C94:E94" si="16">K15/C84</f>
        <v>4.968072439592819E-5</v>
      </c>
      <c r="D94" s="95">
        <f t="shared" si="16"/>
        <v>1.566715996263661E-5</v>
      </c>
      <c r="E94" s="95">
        <f t="shared" si="16"/>
        <v>2.280014731673261E-5</v>
      </c>
      <c r="F94">
        <f t="shared" si="9"/>
        <v>2.807419398659671E-5</v>
      </c>
      <c r="G94">
        <f t="shared" si="12"/>
        <v>1.4877291121548868E-5</v>
      </c>
      <c r="H94">
        <f t="shared" si="13"/>
        <v>0.52992763135610021</v>
      </c>
    </row>
    <row r="95" spans="1:9">
      <c r="A95" s="93" t="s">
        <v>56</v>
      </c>
      <c r="B95" s="95">
        <f>J17/B84</f>
        <v>1.5085511853297842E-5</v>
      </c>
      <c r="C95" s="95">
        <f t="shared" ref="C95:E95" si="17">K17/C84</f>
        <v>2.8491844011743496E-5</v>
      </c>
      <c r="D95" s="95">
        <f t="shared" si="17"/>
        <v>9.2216073914500618E-6</v>
      </c>
      <c r="E95" s="95">
        <f t="shared" si="17"/>
        <v>1.3756513464844256E-5</v>
      </c>
      <c r="F95">
        <f t="shared" si="9"/>
        <v>1.6638869180333914E-5</v>
      </c>
      <c r="G95">
        <f t="shared" si="12"/>
        <v>8.2911534833809076E-6</v>
      </c>
      <c r="H95">
        <f t="shared" si="13"/>
        <v>0.49830029874749687</v>
      </c>
    </row>
    <row r="96" spans="1:9">
      <c r="A96" s="93" t="s">
        <v>87</v>
      </c>
      <c r="B96" s="95">
        <f>J25/B84</f>
        <v>5.2888731280139077E-6</v>
      </c>
      <c r="C96" s="95">
        <f t="shared" ref="C96:E96" si="18">K25/C84</f>
        <v>4.4229216335919503E-6</v>
      </c>
      <c r="D96" s="95">
        <f t="shared" si="18"/>
        <v>3.5099543704481208E-6</v>
      </c>
      <c r="E96" s="95">
        <f t="shared" si="18"/>
        <v>3.9358913524415505E-6</v>
      </c>
      <c r="F96">
        <f t="shared" si="9"/>
        <v>4.2894101211238825E-6</v>
      </c>
      <c r="G96">
        <f t="shared" si="12"/>
        <v>7.6360513643622311E-7</v>
      </c>
      <c r="H96">
        <f t="shared" si="13"/>
        <v>0.17802101335000076</v>
      </c>
      <c r="I96">
        <f>F96/F$94</f>
        <v>0.15278836226506626</v>
      </c>
    </row>
    <row r="97" spans="1:9">
      <c r="A97" s="93" t="s">
        <v>74</v>
      </c>
      <c r="B97" s="95">
        <f>J10/B84</f>
        <v>1.120978746411065E-6</v>
      </c>
      <c r="C97" s="95">
        <f t="shared" ref="C97:E97" si="19">K10/C84</f>
        <v>2.1600314954751385E-6</v>
      </c>
      <c r="D97" s="95">
        <f t="shared" si="19"/>
        <v>9.9235982655396863E-7</v>
      </c>
      <c r="E97" s="95">
        <f t="shared" si="19"/>
        <v>1.6049265708984965E-6</v>
      </c>
      <c r="F97">
        <f t="shared" si="9"/>
        <v>1.4695741598346672E-6</v>
      </c>
      <c r="G97">
        <f t="shared" si="12"/>
        <v>5.305041280609241E-7</v>
      </c>
      <c r="H97">
        <f t="shared" si="13"/>
        <v>0.36099173662702932</v>
      </c>
      <c r="I97">
        <f>F97/F$94</f>
        <v>5.2346085538066627E-2</v>
      </c>
    </row>
    <row r="98" spans="1:9">
      <c r="A98" s="94" t="s">
        <v>76</v>
      </c>
      <c r="B98" s="95">
        <f>J12/B84</f>
        <v>1.5085511853297843E-6</v>
      </c>
      <c r="C98" s="95">
        <f t="shared" ref="C98:E98" si="20">K12/C84</f>
        <v>2.4788932876643258E-6</v>
      </c>
      <c r="D98" s="95">
        <f t="shared" si="20"/>
        <v>1.0450091421106906E-6</v>
      </c>
      <c r="E98" s="95">
        <f t="shared" si="20"/>
        <v>2.1271645820638805E-6</v>
      </c>
      <c r="F98">
        <f t="shared" si="9"/>
        <v>1.7899045492921703E-6</v>
      </c>
      <c r="G98">
        <f t="shared" si="12"/>
        <v>6.3835170409470531E-7</v>
      </c>
      <c r="H98">
        <f t="shared" si="13"/>
        <v>0.35664008136475528</v>
      </c>
      <c r="I98">
        <f>F98/F$94</f>
        <v>6.3756222178514316E-2</v>
      </c>
    </row>
    <row r="99" spans="1:9">
      <c r="A99" s="93" t="s">
        <v>179</v>
      </c>
      <c r="B99" s="95">
        <f>(J40-J15-J17-J25-J10-J12-J26-J16)/B84</f>
        <v>5.6243260178774079E-6</v>
      </c>
      <c r="C99" s="95">
        <f t="shared" ref="C99:D99" si="21">(K40-K15-K17-K25-K10-K12-K26-K16)/C84</f>
        <v>1.3701306064812615E-5</v>
      </c>
      <c r="D99" s="95">
        <f t="shared" si="21"/>
        <v>4.8710033140283328E-6</v>
      </c>
      <c r="E99" s="95">
        <f>(M40-M15-M17-M25-M10-M12-M26-M16)/E84</f>
        <v>5.7204232178873027E-6</v>
      </c>
      <c r="F99">
        <f t="shared" si="9"/>
        <v>7.479264653651415E-6</v>
      </c>
      <c r="G99">
        <f t="shared" si="12"/>
        <v>4.1653790174334737E-6</v>
      </c>
      <c r="H99">
        <f t="shared" si="13"/>
        <v>0.55692360283038178</v>
      </c>
    </row>
    <row r="100" spans="1:9">
      <c r="A100" s="93"/>
      <c r="B100" s="95"/>
      <c r="C100" s="95"/>
      <c r="D100" s="95"/>
      <c r="E100" s="95"/>
    </row>
    <row r="101" spans="1:9">
      <c r="A101" s="93" t="s">
        <v>88</v>
      </c>
      <c r="B101" s="95">
        <f>J26/B84</f>
        <v>1.3654475155751802E-6</v>
      </c>
      <c r="C101" s="95">
        <f t="shared" ref="C101:E101" si="22">K26/C84</f>
        <v>1.9954576672484615E-6</v>
      </c>
      <c r="D101" s="95">
        <f t="shared" si="22"/>
        <v>3.94072149773039E-7</v>
      </c>
      <c r="E101" s="95">
        <f t="shared" si="22"/>
        <v>4.5090794134767283E-7</v>
      </c>
      <c r="F101">
        <f t="shared" si="9"/>
        <v>1.0514713184860884E-6</v>
      </c>
      <c r="G101">
        <f t="shared" si="12"/>
        <v>7.7083100525185426E-7</v>
      </c>
      <c r="H101">
        <f t="shared" si="13"/>
        <v>0.73309750984144684</v>
      </c>
      <c r="I101">
        <f t="shared" ref="I101:I102" si="23">F101/F$94</f>
        <v>3.745330387715088E-2</v>
      </c>
    </row>
    <row r="102" spans="1:9">
      <c r="A102" s="93" t="s">
        <v>189</v>
      </c>
      <c r="B102" s="95">
        <f>SUM(J16,J32)/B84</f>
        <v>2.3194719806058742E-6</v>
      </c>
      <c r="C102" s="95">
        <f t="shared" ref="C102:E102" si="24">SUM(K16,K32)/C84</f>
        <v>3.9394860131760864E-6</v>
      </c>
      <c r="D102" s="95">
        <f t="shared" si="24"/>
        <v>9.1737443773075874E-7</v>
      </c>
      <c r="E102" s="95">
        <f t="shared" si="24"/>
        <v>1.1438286195768647E-6</v>
      </c>
      <c r="F102">
        <f t="shared" si="9"/>
        <v>2.0800402627723959E-6</v>
      </c>
      <c r="G102">
        <f t="shared" si="12"/>
        <v>1.3836124346282405E-6</v>
      </c>
      <c r="H102">
        <f t="shared" si="13"/>
        <v>0.66518540981705954</v>
      </c>
      <c r="I102">
        <f t="shared" si="23"/>
        <v>7.409082746117153E-2</v>
      </c>
    </row>
    <row r="103" spans="1:9">
      <c r="A103" s="93"/>
      <c r="B103" s="95"/>
      <c r="C103" s="95"/>
      <c r="D103" s="95"/>
      <c r="E103" s="95"/>
    </row>
    <row r="104" spans="1:9">
      <c r="A104" s="93" t="s">
        <v>184</v>
      </c>
      <c r="B104" s="95">
        <f>J45/B84</f>
        <v>4.3229233571703309E-4</v>
      </c>
      <c r="C104" s="95">
        <f t="shared" ref="C104:E104" si="25">K45/C84</f>
        <v>9.8538579650722983E-4</v>
      </c>
      <c r="D104" s="95">
        <f t="shared" si="25"/>
        <v>4.8979817805798779E-4</v>
      </c>
      <c r="E104" s="95">
        <f t="shared" si="25"/>
        <v>6.0375809095705344E-4</v>
      </c>
      <c r="F104">
        <f t="shared" si="9"/>
        <v>6.2780860030982604E-4</v>
      </c>
      <c r="G104">
        <f t="shared" si="12"/>
        <v>2.4880605874922881E-4</v>
      </c>
      <c r="H104">
        <f t="shared" si="13"/>
        <v>0.39630877727135633</v>
      </c>
    </row>
    <row r="105" spans="1:9">
      <c r="A105" s="93" t="s">
        <v>183</v>
      </c>
      <c r="B105" s="95">
        <f>J53/B84</f>
        <v>7.8655293774552053E-6</v>
      </c>
      <c r="C105" s="95">
        <f t="shared" ref="C105:E105" si="26">K53/C84</f>
        <v>1.924817796344947E-4</v>
      </c>
      <c r="D105" s="95">
        <f t="shared" si="26"/>
        <v>8.1580536491315526E-5</v>
      </c>
      <c r="E105" s="95">
        <f t="shared" si="26"/>
        <v>3.0549707639636601E-5</v>
      </c>
      <c r="F105">
        <f t="shared" si="9"/>
        <v>7.8119388285725514E-5</v>
      </c>
      <c r="G105">
        <f t="shared" si="12"/>
        <v>8.2237897407833678E-5</v>
      </c>
      <c r="H105">
        <f t="shared" si="13"/>
        <v>1.0527207036881103</v>
      </c>
    </row>
    <row r="106" spans="1:9">
      <c r="A106" s="94" t="s">
        <v>142</v>
      </c>
      <c r="B106" s="95">
        <f>J54/B84</f>
        <v>4.2442680633957784E-4</v>
      </c>
      <c r="C106" s="95">
        <f t="shared" ref="C106:E106" si="27">K54/C84</f>
        <v>7.9290401687273518E-4</v>
      </c>
      <c r="D106" s="95">
        <f t="shared" si="27"/>
        <v>4.0821764156667224E-4</v>
      </c>
      <c r="E106" s="95">
        <f t="shared" si="27"/>
        <v>5.7320838331741683E-4</v>
      </c>
      <c r="F106">
        <f t="shared" si="9"/>
        <v>5.4968921202410044E-4</v>
      </c>
      <c r="G106">
        <f t="shared" si="12"/>
        <v>1.7833626312993556E-4</v>
      </c>
      <c r="H106">
        <f t="shared" si="13"/>
        <v>0.32443107710492347</v>
      </c>
    </row>
  </sheetData>
  <mergeCells count="3">
    <mergeCell ref="J4:M4"/>
    <mergeCell ref="J43:M43"/>
    <mergeCell ref="B62:E62"/>
  </mergeCells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84"/>
  <sheetViews>
    <sheetView topLeftCell="A58" workbookViewId="0">
      <selection activeCell="D68" sqref="D68"/>
    </sheetView>
  </sheetViews>
  <sheetFormatPr defaultRowHeight="12.75"/>
  <cols>
    <col min="1" max="1" width="36.85546875" customWidth="1"/>
    <col min="2" max="2" width="12.42578125" bestFit="1" customWidth="1"/>
    <col min="4" max="4" width="9.28515625" bestFit="1" customWidth="1"/>
  </cols>
  <sheetData>
    <row r="1" spans="1:6" ht="15.75">
      <c r="A1" t="s">
        <v>170</v>
      </c>
      <c r="C1" s="5" t="s">
        <v>110</v>
      </c>
    </row>
    <row r="2" spans="1:6">
      <c r="C2" t="s">
        <v>163</v>
      </c>
    </row>
    <row r="3" spans="1:6">
      <c r="C3" t="s">
        <v>157</v>
      </c>
      <c r="D3" s="8">
        <v>37700</v>
      </c>
    </row>
    <row r="4" spans="1:6">
      <c r="A4" s="2" t="s">
        <v>1</v>
      </c>
      <c r="B4" s="2" t="s">
        <v>2</v>
      </c>
    </row>
    <row r="5" spans="1:6">
      <c r="A5" t="s">
        <v>10</v>
      </c>
      <c r="B5" t="s">
        <v>164</v>
      </c>
    </row>
    <row r="6" spans="1:6">
      <c r="A6" t="s">
        <v>11</v>
      </c>
    </row>
    <row r="7" spans="1:6">
      <c r="A7" t="s">
        <v>113</v>
      </c>
      <c r="B7">
        <v>68</v>
      </c>
    </row>
    <row r="8" spans="1:6">
      <c r="A8" t="s">
        <v>114</v>
      </c>
      <c r="B8">
        <v>26</v>
      </c>
      <c r="D8" s="9">
        <f>PI()*(B8/2)^2*B7</f>
        <v>36103.182775053901</v>
      </c>
      <c r="F8">
        <f>1-D13/D8</f>
        <v>0.55611556118220662</v>
      </c>
    </row>
    <row r="9" spans="1:6">
      <c r="A9" t="s">
        <v>3</v>
      </c>
    </row>
    <row r="10" spans="1:6">
      <c r="A10" t="s">
        <v>4</v>
      </c>
      <c r="B10">
        <v>24</v>
      </c>
    </row>
    <row r="11" spans="1:6">
      <c r="A11" t="s">
        <v>5</v>
      </c>
    </row>
    <row r="12" spans="1:6">
      <c r="A12" t="s">
        <v>6</v>
      </c>
    </row>
    <row r="13" spans="1:6">
      <c r="A13" t="s">
        <v>7</v>
      </c>
      <c r="B13">
        <v>1000</v>
      </c>
      <c r="D13" s="9">
        <f>B13*2000/(2*62.4)</f>
        <v>16025.641025641025</v>
      </c>
      <c r="E13" t="s">
        <v>165</v>
      </c>
      <c r="F13">
        <f>1-D13/(D8*(1-D25))</f>
        <v>-6.1380613203316781E-3</v>
      </c>
    </row>
    <row r="14" spans="1:6">
      <c r="A14" t="s">
        <v>8</v>
      </c>
    </row>
    <row r="15" spans="1:6">
      <c r="A15" t="s">
        <v>9</v>
      </c>
    </row>
    <row r="18" spans="1:5">
      <c r="B18" t="s">
        <v>14</v>
      </c>
    </row>
    <row r="19" spans="1:5">
      <c r="A19" t="s">
        <v>18</v>
      </c>
      <c r="B19" s="1">
        <v>37700</v>
      </c>
      <c r="C19" s="1"/>
      <c r="D19" s="1"/>
      <c r="E19" s="1"/>
    </row>
    <row r="20" spans="1:5">
      <c r="A20" t="s">
        <v>112</v>
      </c>
      <c r="B20">
        <v>7</v>
      </c>
    </row>
    <row r="21" spans="1:5">
      <c r="A21" t="s">
        <v>23</v>
      </c>
      <c r="B21">
        <v>60</v>
      </c>
    </row>
    <row r="22" spans="1:5">
      <c r="A22" t="s">
        <v>158</v>
      </c>
      <c r="B22">
        <v>83333</v>
      </c>
    </row>
    <row r="23" spans="1:5">
      <c r="A23" t="s">
        <v>160</v>
      </c>
    </row>
    <row r="24" spans="1:5">
      <c r="A24" t="s">
        <v>24</v>
      </c>
    </row>
    <row r="25" spans="1:5">
      <c r="A25" t="s">
        <v>115</v>
      </c>
      <c r="B25">
        <v>38</v>
      </c>
      <c r="D25">
        <f>B25/B7</f>
        <v>0.55882352941176472</v>
      </c>
    </row>
    <row r="27" spans="1:5">
      <c r="A27" t="s">
        <v>31</v>
      </c>
      <c r="B27">
        <v>0.92320000000000002</v>
      </c>
    </row>
    <row r="31" spans="1:5">
      <c r="A31" t="s">
        <v>140</v>
      </c>
      <c r="B31" t="s">
        <v>143</v>
      </c>
    </row>
    <row r="32" spans="1:5">
      <c r="A32" t="s">
        <v>141</v>
      </c>
      <c r="B32">
        <v>0.36</v>
      </c>
    </row>
    <row r="33" spans="1:5">
      <c r="A33" t="s">
        <v>142</v>
      </c>
      <c r="B33">
        <v>1.46</v>
      </c>
    </row>
    <row r="34" spans="1:5">
      <c r="A34" t="s">
        <v>144</v>
      </c>
      <c r="B34">
        <v>5.3</v>
      </c>
    </row>
    <row r="35" spans="1:5">
      <c r="A35" t="s">
        <v>145</v>
      </c>
      <c r="B35">
        <v>33.9</v>
      </c>
      <c r="D35">
        <f>B35/36*2*24*365/2000</f>
        <v>8.2490000000000006</v>
      </c>
    </row>
    <row r="36" spans="1:5">
      <c r="A36" t="s">
        <v>146</v>
      </c>
      <c r="B36">
        <v>7.59</v>
      </c>
    </row>
    <row r="37" spans="1:5">
      <c r="A37" t="s">
        <v>52</v>
      </c>
      <c r="B37">
        <v>0.14000000000000001</v>
      </c>
    </row>
    <row r="38" spans="1:5">
      <c r="A38" t="s">
        <v>54</v>
      </c>
      <c r="B38">
        <v>0.39</v>
      </c>
    </row>
    <row r="39" spans="1:5">
      <c r="A39" t="s">
        <v>147</v>
      </c>
      <c r="B39">
        <v>0.05</v>
      </c>
    </row>
    <row r="40" spans="1:5">
      <c r="A40" t="s">
        <v>148</v>
      </c>
      <c r="B40">
        <f>0.33+0.06</f>
        <v>0.39</v>
      </c>
    </row>
    <row r="42" spans="1:5">
      <c r="A42" t="s">
        <v>140</v>
      </c>
      <c r="B42" t="s">
        <v>149</v>
      </c>
      <c r="D42" t="s">
        <v>180</v>
      </c>
    </row>
    <row r="43" spans="1:5">
      <c r="A43" t="s">
        <v>159</v>
      </c>
      <c r="B43">
        <v>25550</v>
      </c>
      <c r="D43">
        <f>B43*(1-$B$27)</f>
        <v>1962.2399999999996</v>
      </c>
    </row>
    <row r="44" spans="1:5">
      <c r="A44" t="s">
        <v>145</v>
      </c>
      <c r="B44">
        <v>147000</v>
      </c>
      <c r="C44">
        <f>B44/1000000</f>
        <v>0.14699999999999999</v>
      </c>
      <c r="D44">
        <f t="shared" ref="D44:D49" si="0">B44*(1-$B$27)</f>
        <v>11289.599999999997</v>
      </c>
      <c r="E44" s="19">
        <f>D44/1000000</f>
        <v>1.1289599999999997E-2</v>
      </c>
    </row>
    <row r="45" spans="1:5">
      <c r="A45" t="s">
        <v>195</v>
      </c>
      <c r="B45">
        <v>35000</v>
      </c>
      <c r="D45">
        <f t="shared" si="0"/>
        <v>2687.9999999999991</v>
      </c>
    </row>
    <row r="46" spans="1:5">
      <c r="A46" t="s">
        <v>52</v>
      </c>
      <c r="B46">
        <v>124</v>
      </c>
      <c r="D46">
        <f t="shared" si="0"/>
        <v>9.5231999999999974</v>
      </c>
    </row>
    <row r="47" spans="1:5">
      <c r="A47" t="s">
        <v>54</v>
      </c>
      <c r="B47">
        <v>290</v>
      </c>
      <c r="D47">
        <f t="shared" si="0"/>
        <v>22.271999999999995</v>
      </c>
    </row>
    <row r="48" spans="1:5">
      <c r="A48" t="s">
        <v>147</v>
      </c>
      <c r="B48">
        <v>32.799999999999997</v>
      </c>
      <c r="D48">
        <f t="shared" si="0"/>
        <v>2.5190399999999991</v>
      </c>
    </row>
    <row r="49" spans="1:4">
      <c r="A49" t="s">
        <v>148</v>
      </c>
      <c r="B49">
        <f>218.5+38.5</f>
        <v>257</v>
      </c>
      <c r="D49">
        <f t="shared" si="0"/>
        <v>19.737599999999993</v>
      </c>
    </row>
    <row r="52" spans="1:4">
      <c r="A52" t="s">
        <v>190</v>
      </c>
      <c r="B52">
        <v>1189</v>
      </c>
    </row>
    <row r="53" spans="1:4">
      <c r="A53" t="s">
        <v>191</v>
      </c>
      <c r="B53">
        <v>91.3</v>
      </c>
    </row>
    <row r="54" spans="1:4">
      <c r="A54" t="s">
        <v>192</v>
      </c>
      <c r="B54">
        <v>60</v>
      </c>
    </row>
    <row r="56" spans="1:4">
      <c r="A56" s="45" t="s">
        <v>509</v>
      </c>
      <c r="B56" s="20">
        <f>B52*B$54</f>
        <v>71340</v>
      </c>
    </row>
    <row r="57" spans="1:4">
      <c r="A57" s="45" t="s">
        <v>510</v>
      </c>
      <c r="B57" s="20">
        <f>B53*B$54</f>
        <v>5478</v>
      </c>
    </row>
    <row r="59" spans="1:4">
      <c r="A59" s="3" t="s">
        <v>497</v>
      </c>
    </row>
    <row r="60" spans="1:4">
      <c r="B60" s="2" t="s">
        <v>14</v>
      </c>
    </row>
    <row r="61" spans="1:4">
      <c r="A61" s="45" t="s">
        <v>494</v>
      </c>
      <c r="B61" s="20">
        <f>(B56-B57)</f>
        <v>65862</v>
      </c>
    </row>
    <row r="62" spans="1:4">
      <c r="A62" s="45" t="s">
        <v>495</v>
      </c>
      <c r="B62">
        <f>B61/849.5*18*2.2046</f>
        <v>3076.6198629782225</v>
      </c>
    </row>
    <row r="63" spans="1:4">
      <c r="A63" s="45" t="s">
        <v>496</v>
      </c>
    </row>
    <row r="64" spans="1:4">
      <c r="A64" s="91" t="s">
        <v>145</v>
      </c>
      <c r="B64">
        <f>B35/B62</f>
        <v>1.1018585821383925E-2</v>
      </c>
    </row>
    <row r="65" spans="1:2">
      <c r="A65" s="91" t="s">
        <v>146</v>
      </c>
      <c r="B65">
        <f>B36/B62</f>
        <v>2.466993108681534E-3</v>
      </c>
    </row>
    <row r="66" spans="1:2">
      <c r="A66" s="91" t="s">
        <v>193</v>
      </c>
      <c r="B66">
        <f>B34/B62</f>
        <v>1.7226697596853925E-3</v>
      </c>
    </row>
    <row r="67" spans="1:2">
      <c r="A67" s="91" t="s">
        <v>52</v>
      </c>
      <c r="B67">
        <f>B37/B62</f>
        <v>4.5504484218104717E-5</v>
      </c>
    </row>
    <row r="68" spans="1:2">
      <c r="A68" s="91" t="s">
        <v>54</v>
      </c>
      <c r="B68">
        <f>B38/B62</f>
        <v>1.2676249175043455E-4</v>
      </c>
    </row>
    <row r="69" spans="1:2">
      <c r="A69" s="92" t="s">
        <v>339</v>
      </c>
      <c r="B69">
        <f>B39/B62</f>
        <v>1.6251601506465968E-5</v>
      </c>
    </row>
    <row r="70" spans="1:2">
      <c r="A70" s="91" t="s">
        <v>167</v>
      </c>
      <c r="B70">
        <f>B40/B62</f>
        <v>1.2676249175043455E-4</v>
      </c>
    </row>
    <row r="71" spans="1:2">
      <c r="A71" s="91" t="s">
        <v>168</v>
      </c>
      <c r="B71" s="13"/>
    </row>
    <row r="72" spans="1:2">
      <c r="A72" s="93" t="s">
        <v>78</v>
      </c>
      <c r="B72" s="96" t="s">
        <v>407</v>
      </c>
    </row>
    <row r="73" spans="1:2">
      <c r="A73" s="93" t="s">
        <v>56</v>
      </c>
      <c r="B73" s="96" t="s">
        <v>407</v>
      </c>
    </row>
    <row r="74" spans="1:2">
      <c r="A74" s="93" t="s">
        <v>87</v>
      </c>
      <c r="B74" s="96" t="s">
        <v>407</v>
      </c>
    </row>
    <row r="75" spans="1:2">
      <c r="A75" s="93" t="s">
        <v>74</v>
      </c>
      <c r="B75" s="96" t="s">
        <v>407</v>
      </c>
    </row>
    <row r="76" spans="1:2">
      <c r="A76" s="94" t="s">
        <v>76</v>
      </c>
      <c r="B76" s="96" t="s">
        <v>407</v>
      </c>
    </row>
    <row r="77" spans="1:2">
      <c r="A77" s="93" t="s">
        <v>179</v>
      </c>
      <c r="B77" s="96" t="s">
        <v>407</v>
      </c>
    </row>
    <row r="78" spans="1:2">
      <c r="A78" s="93"/>
      <c r="B78" s="95"/>
    </row>
    <row r="79" spans="1:2">
      <c r="A79" s="93" t="s">
        <v>88</v>
      </c>
      <c r="B79" s="96" t="s">
        <v>407</v>
      </c>
    </row>
    <row r="80" spans="1:2">
      <c r="A80" s="93" t="s">
        <v>189</v>
      </c>
      <c r="B80" s="96" t="s">
        <v>407</v>
      </c>
    </row>
    <row r="81" spans="1:2">
      <c r="A81" s="93"/>
      <c r="B81" s="95"/>
    </row>
    <row r="82" spans="1:2">
      <c r="A82" s="93" t="s">
        <v>184</v>
      </c>
      <c r="B82" s="95">
        <f>SUM(B32:B33)/B62</f>
        <v>5.9155829483536115E-4</v>
      </c>
    </row>
    <row r="83" spans="1:2">
      <c r="A83" s="93" t="s">
        <v>183</v>
      </c>
      <c r="B83" s="95">
        <f>B32/B62</f>
        <v>1.1701153084655497E-4</v>
      </c>
    </row>
    <row r="84" spans="1:2">
      <c r="A84" s="94" t="s">
        <v>142</v>
      </c>
      <c r="B84" s="95">
        <f>B33/B62</f>
        <v>4.7454676398880625E-4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84"/>
  <sheetViews>
    <sheetView topLeftCell="A55" workbookViewId="0">
      <selection activeCell="A56" sqref="A56:A57"/>
    </sheetView>
  </sheetViews>
  <sheetFormatPr defaultRowHeight="12.75"/>
  <cols>
    <col min="1" max="1" width="36.85546875" customWidth="1"/>
  </cols>
  <sheetData>
    <row r="1" spans="1:6" ht="15.75">
      <c r="A1" t="s">
        <v>154</v>
      </c>
      <c r="C1" s="5" t="s">
        <v>110</v>
      </c>
    </row>
    <row r="2" spans="1:6">
      <c r="A2" t="s">
        <v>155</v>
      </c>
      <c r="C2" t="s">
        <v>156</v>
      </c>
    </row>
    <row r="3" spans="1:6">
      <c r="C3" t="s">
        <v>157</v>
      </c>
      <c r="D3" s="8">
        <v>37659</v>
      </c>
    </row>
    <row r="4" spans="1:6">
      <c r="A4" s="2" t="s">
        <v>1</v>
      </c>
      <c r="B4" s="2" t="s">
        <v>2</v>
      </c>
    </row>
    <row r="5" spans="1:6">
      <c r="A5" t="s">
        <v>10</v>
      </c>
    </row>
    <row r="6" spans="1:6">
      <c r="A6" t="s">
        <v>11</v>
      </c>
    </row>
    <row r="7" spans="1:6">
      <c r="A7" t="s">
        <v>113</v>
      </c>
      <c r="B7">
        <v>149</v>
      </c>
    </row>
    <row r="8" spans="1:6">
      <c r="A8" t="s">
        <v>114</v>
      </c>
      <c r="B8">
        <v>15.5</v>
      </c>
      <c r="D8" s="9">
        <f>PI()*(B8/2)^2*B7</f>
        <v>28115.094404679305</v>
      </c>
      <c r="F8">
        <f>1-D13/D8</f>
        <v>0.54198717169014765</v>
      </c>
    </row>
    <row r="9" spans="1:6">
      <c r="A9" t="s">
        <v>3</v>
      </c>
    </row>
    <row r="10" spans="1:6">
      <c r="A10" t="s">
        <v>4</v>
      </c>
      <c r="B10">
        <v>21</v>
      </c>
    </row>
    <row r="11" spans="1:6">
      <c r="A11" t="s">
        <v>5</v>
      </c>
    </row>
    <row r="12" spans="1:6">
      <c r="A12" t="s">
        <v>6</v>
      </c>
    </row>
    <row r="13" spans="1:6">
      <c r="A13" t="s">
        <v>7</v>
      </c>
      <c r="B13">
        <v>683</v>
      </c>
      <c r="D13" s="9">
        <f>B13*2000/(1.7*62.4)</f>
        <v>12877.073906485672</v>
      </c>
      <c r="E13" t="s">
        <v>165</v>
      </c>
      <c r="F13">
        <f>1-D13/(D8*(1-D25))</f>
        <v>0.42410201334879338</v>
      </c>
    </row>
    <row r="14" spans="1:6">
      <c r="A14" t="s">
        <v>8</v>
      </c>
    </row>
    <row r="15" spans="1:6">
      <c r="A15" t="s">
        <v>9</v>
      </c>
    </row>
    <row r="18" spans="1:5">
      <c r="B18" t="s">
        <v>14</v>
      </c>
    </row>
    <row r="19" spans="1:5">
      <c r="A19" t="s">
        <v>18</v>
      </c>
      <c r="B19" s="1">
        <v>37659</v>
      </c>
      <c r="C19" s="1"/>
      <c r="D19" s="1"/>
      <c r="E19" s="1"/>
    </row>
    <row r="20" spans="1:5">
      <c r="A20" t="s">
        <v>112</v>
      </c>
      <c r="B20">
        <v>2.5</v>
      </c>
    </row>
    <row r="21" spans="1:5">
      <c r="A21" t="s">
        <v>23</v>
      </c>
      <c r="B21">
        <v>5</v>
      </c>
    </row>
    <row r="22" spans="1:5">
      <c r="A22" t="s">
        <v>158</v>
      </c>
      <c r="B22">
        <v>12200</v>
      </c>
    </row>
    <row r="23" spans="1:5">
      <c r="A23" t="s">
        <v>160</v>
      </c>
      <c r="B23">
        <v>46.6</v>
      </c>
    </row>
    <row r="24" spans="1:5">
      <c r="A24" t="s">
        <v>24</v>
      </c>
    </row>
    <row r="25" spans="1:5">
      <c r="A25" t="s">
        <v>115</v>
      </c>
      <c r="B25">
        <v>30.5</v>
      </c>
      <c r="D25">
        <f>B25/B7</f>
        <v>0.20469798657718122</v>
      </c>
    </row>
    <row r="27" spans="1:5">
      <c r="A27" t="s">
        <v>31</v>
      </c>
      <c r="B27">
        <v>0.90669999999999995</v>
      </c>
    </row>
    <row r="31" spans="1:5">
      <c r="A31" t="s">
        <v>140</v>
      </c>
      <c r="B31" t="s">
        <v>143</v>
      </c>
    </row>
    <row r="32" spans="1:5">
      <c r="A32" t="s">
        <v>141</v>
      </c>
      <c r="B32" t="s">
        <v>161</v>
      </c>
    </row>
    <row r="33" spans="1:5">
      <c r="A33" t="s">
        <v>142</v>
      </c>
    </row>
    <row r="34" spans="1:5">
      <c r="A34" t="s">
        <v>144</v>
      </c>
    </row>
    <row r="35" spans="1:5">
      <c r="A35" t="s">
        <v>145</v>
      </c>
    </row>
    <row r="36" spans="1:5">
      <c r="A36" t="s">
        <v>146</v>
      </c>
    </row>
    <row r="37" spans="1:5">
      <c r="A37" t="s">
        <v>52</v>
      </c>
    </row>
    <row r="38" spans="1:5">
      <c r="A38" t="s">
        <v>54</v>
      </c>
    </row>
    <row r="39" spans="1:5">
      <c r="A39" t="s">
        <v>147</v>
      </c>
    </row>
    <row r="40" spans="1:5">
      <c r="A40" t="s">
        <v>148</v>
      </c>
    </row>
    <row r="42" spans="1:5">
      <c r="A42" t="s">
        <v>140</v>
      </c>
      <c r="B42" t="s">
        <v>149</v>
      </c>
    </row>
    <row r="43" spans="1:5">
      <c r="A43" t="s">
        <v>159</v>
      </c>
      <c r="B43">
        <f>164600-B44-B45</f>
        <v>30400</v>
      </c>
      <c r="D43">
        <f>B43*(1-B$27)</f>
        <v>2836.3200000000015</v>
      </c>
    </row>
    <row r="44" spans="1:5">
      <c r="A44" t="s">
        <v>145</v>
      </c>
      <c r="B44">
        <v>90000</v>
      </c>
      <c r="C44">
        <f>B44/1000000</f>
        <v>0.09</v>
      </c>
      <c r="D44">
        <f>B44*(1-B$27)</f>
        <v>8397.0000000000036</v>
      </c>
      <c r="E44" s="19">
        <f>D44/1000000</f>
        <v>8.3970000000000034E-3</v>
      </c>
    </row>
    <row r="45" spans="1:5">
      <c r="A45" t="s">
        <v>195</v>
      </c>
      <c r="B45">
        <v>44200</v>
      </c>
      <c r="D45">
        <f>B45*(1-B$27)</f>
        <v>4123.8600000000024</v>
      </c>
    </row>
    <row r="46" spans="1:5">
      <c r="A46" t="s">
        <v>52</v>
      </c>
      <c r="B46" t="s">
        <v>162</v>
      </c>
    </row>
    <row r="47" spans="1:5">
      <c r="A47" t="s">
        <v>54</v>
      </c>
      <c r="B47" t="s">
        <v>162</v>
      </c>
    </row>
    <row r="48" spans="1:5">
      <c r="A48" t="s">
        <v>147</v>
      </c>
      <c r="B48" t="s">
        <v>162</v>
      </c>
    </row>
    <row r="49" spans="1:2">
      <c r="A49" t="s">
        <v>148</v>
      </c>
      <c r="B49" t="s">
        <v>162</v>
      </c>
    </row>
    <row r="52" spans="1:2">
      <c r="A52" t="s">
        <v>190</v>
      </c>
      <c r="B52">
        <v>1471</v>
      </c>
    </row>
    <row r="53" spans="1:2">
      <c r="A53" t="s">
        <v>191</v>
      </c>
      <c r="B53">
        <v>137.30000000000001</v>
      </c>
    </row>
    <row r="54" spans="1:2">
      <c r="A54" t="s">
        <v>192</v>
      </c>
      <c r="B54">
        <v>5</v>
      </c>
    </row>
    <row r="56" spans="1:2">
      <c r="A56" s="45" t="s">
        <v>509</v>
      </c>
      <c r="B56" s="20">
        <f>B52*B$54</f>
        <v>7355</v>
      </c>
    </row>
    <row r="57" spans="1:2">
      <c r="A57" s="45" t="s">
        <v>510</v>
      </c>
      <c r="B57" s="20">
        <f>B53*B$54</f>
        <v>686.5</v>
      </c>
    </row>
    <row r="59" spans="1:2">
      <c r="A59" s="3" t="s">
        <v>497</v>
      </c>
    </row>
    <row r="60" spans="1:2">
      <c r="B60" s="2" t="s">
        <v>14</v>
      </c>
    </row>
    <row r="61" spans="1:2">
      <c r="A61" s="45" t="s">
        <v>494</v>
      </c>
      <c r="B61" s="20">
        <f>(B56-B57)</f>
        <v>6668.5</v>
      </c>
    </row>
    <row r="62" spans="1:2">
      <c r="A62" s="45" t="s">
        <v>495</v>
      </c>
      <c r="B62">
        <f>B61/849.5*18*2.2046</f>
        <v>311.5064765155974</v>
      </c>
    </row>
    <row r="63" spans="1:2">
      <c r="A63" s="45" t="s">
        <v>496</v>
      </c>
    </row>
    <row r="64" spans="1:2">
      <c r="A64" s="91" t="s">
        <v>145</v>
      </c>
      <c r="B64" s="96" t="s">
        <v>407</v>
      </c>
    </row>
    <row r="65" spans="1:2">
      <c r="A65" s="91" t="s">
        <v>146</v>
      </c>
      <c r="B65" s="96" t="s">
        <v>407</v>
      </c>
    </row>
    <row r="66" spans="1:2">
      <c r="A66" s="91" t="s">
        <v>193</v>
      </c>
      <c r="B66" s="96" t="s">
        <v>407</v>
      </c>
    </row>
    <row r="67" spans="1:2">
      <c r="A67" s="91" t="s">
        <v>52</v>
      </c>
      <c r="B67" s="96" t="s">
        <v>407</v>
      </c>
    </row>
    <row r="68" spans="1:2">
      <c r="A68" s="91" t="s">
        <v>54</v>
      </c>
      <c r="B68" s="96" t="s">
        <v>407</v>
      </c>
    </row>
    <row r="69" spans="1:2">
      <c r="A69" s="92" t="s">
        <v>339</v>
      </c>
      <c r="B69" s="96" t="s">
        <v>407</v>
      </c>
    </row>
    <row r="70" spans="1:2">
      <c r="A70" s="91" t="s">
        <v>167</v>
      </c>
      <c r="B70" s="96" t="s">
        <v>407</v>
      </c>
    </row>
    <row r="71" spans="1:2">
      <c r="A71" s="91" t="s">
        <v>168</v>
      </c>
      <c r="B71" s="13"/>
    </row>
    <row r="72" spans="1:2">
      <c r="A72" s="93" t="s">
        <v>78</v>
      </c>
      <c r="B72" s="96" t="s">
        <v>407</v>
      </c>
    </row>
    <row r="73" spans="1:2">
      <c r="A73" s="93" t="s">
        <v>56</v>
      </c>
      <c r="B73" s="96" t="s">
        <v>407</v>
      </c>
    </row>
    <row r="74" spans="1:2">
      <c r="A74" s="93" t="s">
        <v>87</v>
      </c>
      <c r="B74" s="96" t="s">
        <v>407</v>
      </c>
    </row>
    <row r="75" spans="1:2">
      <c r="A75" s="93" t="s">
        <v>74</v>
      </c>
      <c r="B75" s="96" t="s">
        <v>407</v>
      </c>
    </row>
    <row r="76" spans="1:2">
      <c r="A76" s="94" t="s">
        <v>76</v>
      </c>
      <c r="B76" s="96" t="s">
        <v>407</v>
      </c>
    </row>
    <row r="77" spans="1:2">
      <c r="A77" s="93" t="s">
        <v>179</v>
      </c>
      <c r="B77" s="96" t="s">
        <v>407</v>
      </c>
    </row>
    <row r="78" spans="1:2">
      <c r="A78" s="93"/>
      <c r="B78" s="95"/>
    </row>
    <row r="79" spans="1:2">
      <c r="A79" s="93" t="s">
        <v>88</v>
      </c>
      <c r="B79" s="96" t="s">
        <v>407</v>
      </c>
    </row>
    <row r="80" spans="1:2">
      <c r="A80" s="93" t="s">
        <v>189</v>
      </c>
      <c r="B80" s="96" t="s">
        <v>407</v>
      </c>
    </row>
    <row r="81" spans="1:2">
      <c r="A81" s="93"/>
      <c r="B81" s="95"/>
    </row>
    <row r="82" spans="1:2">
      <c r="A82" s="93" t="s">
        <v>184</v>
      </c>
      <c r="B82" s="96" t="s">
        <v>407</v>
      </c>
    </row>
    <row r="83" spans="1:2">
      <c r="A83" s="93" t="s">
        <v>183</v>
      </c>
      <c r="B83" s="96" t="s">
        <v>407</v>
      </c>
    </row>
    <row r="84" spans="1:2">
      <c r="A84" s="94" t="s">
        <v>142</v>
      </c>
      <c r="B84" s="96" t="s">
        <v>407</v>
      </c>
    </row>
  </sheetData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84"/>
  <sheetViews>
    <sheetView topLeftCell="A51" workbookViewId="0">
      <selection activeCell="B35" sqref="B35"/>
    </sheetView>
  </sheetViews>
  <sheetFormatPr defaultRowHeight="12.75"/>
  <cols>
    <col min="1" max="1" width="36.85546875" customWidth="1"/>
    <col min="2" max="2" width="12.42578125" bestFit="1" customWidth="1"/>
  </cols>
  <sheetData>
    <row r="1" spans="1:6" ht="15.75">
      <c r="A1" t="s">
        <v>150</v>
      </c>
      <c r="C1" s="5" t="s">
        <v>110</v>
      </c>
    </row>
    <row r="2" spans="1:6">
      <c r="A2" t="s">
        <v>151</v>
      </c>
      <c r="C2" t="s">
        <v>152</v>
      </c>
    </row>
    <row r="3" spans="1:6">
      <c r="C3" t="s">
        <v>157</v>
      </c>
      <c r="D3" s="8">
        <v>37644</v>
      </c>
    </row>
    <row r="4" spans="1:6">
      <c r="A4" s="2" t="s">
        <v>1</v>
      </c>
      <c r="B4" s="2" t="s">
        <v>2</v>
      </c>
    </row>
    <row r="5" spans="1:6">
      <c r="A5" t="s">
        <v>10</v>
      </c>
    </row>
    <row r="6" spans="1:6">
      <c r="A6" t="s">
        <v>11</v>
      </c>
    </row>
    <row r="7" spans="1:6">
      <c r="A7" t="s">
        <v>113</v>
      </c>
      <c r="B7">
        <v>68</v>
      </c>
    </row>
    <row r="8" spans="1:6">
      <c r="A8" t="s">
        <v>114</v>
      </c>
      <c r="B8">
        <v>26</v>
      </c>
      <c r="D8" s="9">
        <f>PI()*(B8/2)^2*B7</f>
        <v>36103.182775053901</v>
      </c>
      <c r="F8">
        <f>1-D13/D8</f>
        <v>0.64332579798523182</v>
      </c>
    </row>
    <row r="9" spans="1:6">
      <c r="A9" t="s">
        <v>3</v>
      </c>
    </row>
    <row r="10" spans="1:6">
      <c r="A10" t="s">
        <v>4</v>
      </c>
      <c r="B10">
        <v>21</v>
      </c>
    </row>
    <row r="11" spans="1:6">
      <c r="A11" t="s">
        <v>5</v>
      </c>
    </row>
    <row r="12" spans="1:6">
      <c r="A12" t="s">
        <v>6</v>
      </c>
    </row>
    <row r="13" spans="1:6">
      <c r="A13" t="s">
        <v>7</v>
      </c>
      <c r="B13">
        <v>683</v>
      </c>
      <c r="D13" s="9">
        <f>B13*2000/(1.7*62.4)</f>
        <v>12877.073906485672</v>
      </c>
      <c r="E13" t="s">
        <v>165</v>
      </c>
      <c r="F13">
        <f>1-D13/(D8*(1-D24))</f>
        <v>0.21761787945147648</v>
      </c>
    </row>
    <row r="14" spans="1:6">
      <c r="A14" t="s">
        <v>8</v>
      </c>
    </row>
    <row r="15" spans="1:6">
      <c r="A15" t="s">
        <v>9</v>
      </c>
    </row>
    <row r="18" spans="1:5">
      <c r="B18" t="s">
        <v>14</v>
      </c>
    </row>
    <row r="19" spans="1:5">
      <c r="A19" t="s">
        <v>18</v>
      </c>
      <c r="B19" s="1">
        <v>37644</v>
      </c>
      <c r="C19" s="1"/>
      <c r="D19" s="1"/>
      <c r="E19" s="1"/>
    </row>
    <row r="20" spans="1:5">
      <c r="A20" t="s">
        <v>112</v>
      </c>
      <c r="B20">
        <v>0.4</v>
      </c>
    </row>
    <row r="21" spans="1:5">
      <c r="A21" t="s">
        <v>23</v>
      </c>
      <c r="B21">
        <f>60*B34/D34</f>
        <v>81.163636363636371</v>
      </c>
    </row>
    <row r="22" spans="1:5">
      <c r="A22" t="s">
        <v>158</v>
      </c>
      <c r="B22">
        <v>65048</v>
      </c>
    </row>
    <row r="23" spans="1:5">
      <c r="A23" t="s">
        <v>24</v>
      </c>
    </row>
    <row r="24" spans="1:5">
      <c r="A24" t="s">
        <v>115</v>
      </c>
      <c r="B24">
        <v>37</v>
      </c>
      <c r="D24">
        <f>B24/B7</f>
        <v>0.54411764705882348</v>
      </c>
    </row>
    <row r="26" spans="1:5">
      <c r="A26" t="s">
        <v>31</v>
      </c>
      <c r="B26">
        <v>0.99099999999999999</v>
      </c>
    </row>
    <row r="31" spans="1:5">
      <c r="A31" t="s">
        <v>140</v>
      </c>
      <c r="B31" t="s">
        <v>143</v>
      </c>
    </row>
    <row r="32" spans="1:5">
      <c r="A32" t="s">
        <v>141</v>
      </c>
      <c r="B32">
        <v>1.25</v>
      </c>
    </row>
    <row r="33" spans="1:6">
      <c r="A33" t="s">
        <v>142</v>
      </c>
      <c r="B33">
        <v>12.43</v>
      </c>
    </row>
    <row r="34" spans="1:6">
      <c r="A34" t="s">
        <v>144</v>
      </c>
      <c r="B34">
        <v>11.16</v>
      </c>
      <c r="D34">
        <v>8.25</v>
      </c>
      <c r="E34" t="s">
        <v>153</v>
      </c>
    </row>
    <row r="35" spans="1:6">
      <c r="A35" t="s">
        <v>145</v>
      </c>
      <c r="B35">
        <f>49.5*B$21/60</f>
        <v>66.960000000000008</v>
      </c>
      <c r="F35">
        <f>B35*6*365/2000</f>
        <v>73.321200000000005</v>
      </c>
    </row>
    <row r="36" spans="1:6">
      <c r="A36" t="s">
        <v>146</v>
      </c>
      <c r="B36">
        <f>10*B$21/60</f>
        <v>13.527272727272729</v>
      </c>
    </row>
    <row r="37" spans="1:6">
      <c r="A37" t="s">
        <v>52</v>
      </c>
    </row>
    <row r="38" spans="1:6">
      <c r="A38" t="s">
        <v>54</v>
      </c>
    </row>
    <row r="39" spans="1:6">
      <c r="A39" t="s">
        <v>147</v>
      </c>
    </row>
    <row r="40" spans="1:6">
      <c r="A40" t="s">
        <v>148</v>
      </c>
    </row>
    <row r="42" spans="1:6">
      <c r="A42" t="s">
        <v>140</v>
      </c>
      <c r="B42" t="s">
        <v>149</v>
      </c>
    </row>
    <row r="43" spans="1:6">
      <c r="A43" t="s">
        <v>194</v>
      </c>
      <c r="B43">
        <v>65906</v>
      </c>
      <c r="D43">
        <f>B43*(1-B$26)</f>
        <v>593.15400000000056</v>
      </c>
    </row>
    <row r="44" spans="1:6">
      <c r="A44" t="s">
        <v>145</v>
      </c>
      <c r="B44">
        <v>353300</v>
      </c>
      <c r="C44">
        <f>B44/1000000</f>
        <v>0.3533</v>
      </c>
      <c r="D44">
        <f>B44*(1-B$26)</f>
        <v>3179.700000000003</v>
      </c>
      <c r="E44" s="19">
        <f>D44/1000000</f>
        <v>3.1797000000000032E-3</v>
      </c>
    </row>
    <row r="45" spans="1:6">
      <c r="A45" t="s">
        <v>195</v>
      </c>
      <c r="B45">
        <v>76167</v>
      </c>
      <c r="D45">
        <f>B45*(1-B$26)</f>
        <v>685.50300000000061</v>
      </c>
    </row>
    <row r="46" spans="1:6">
      <c r="A46" t="s">
        <v>52</v>
      </c>
    </row>
    <row r="47" spans="1:6">
      <c r="A47" t="s">
        <v>54</v>
      </c>
    </row>
    <row r="48" spans="1:6">
      <c r="A48" t="s">
        <v>147</v>
      </c>
    </row>
    <row r="49" spans="1:2">
      <c r="A49" t="s">
        <v>148</v>
      </c>
    </row>
    <row r="52" spans="1:2">
      <c r="A52" t="s">
        <v>190</v>
      </c>
      <c r="B52">
        <v>6165</v>
      </c>
    </row>
    <row r="53" spans="1:2">
      <c r="A53" t="s">
        <v>191</v>
      </c>
      <c r="B53">
        <v>55.25</v>
      </c>
    </row>
    <row r="54" spans="1:2">
      <c r="A54" t="s">
        <v>192</v>
      </c>
      <c r="B54">
        <v>60</v>
      </c>
    </row>
    <row r="56" spans="1:2">
      <c r="A56" s="45" t="s">
        <v>509</v>
      </c>
      <c r="B56" s="20">
        <f>B52*B$54</f>
        <v>369900</v>
      </c>
    </row>
    <row r="57" spans="1:2">
      <c r="A57" s="45" t="s">
        <v>510</v>
      </c>
      <c r="B57" s="20">
        <f>B53*B$54</f>
        <v>3315</v>
      </c>
    </row>
    <row r="59" spans="1:2">
      <c r="A59" s="3" t="s">
        <v>497</v>
      </c>
    </row>
    <row r="60" spans="1:2">
      <c r="B60" s="2" t="s">
        <v>14</v>
      </c>
    </row>
    <row r="61" spans="1:2">
      <c r="A61" s="45" t="s">
        <v>494</v>
      </c>
      <c r="B61" s="20">
        <f>(B56-B57)</f>
        <v>366585</v>
      </c>
    </row>
    <row r="62" spans="1:2">
      <c r="A62" s="45" t="s">
        <v>495</v>
      </c>
      <c r="B62">
        <f>B61/849.5*18*2.2046</f>
        <v>17124.331062978225</v>
      </c>
    </row>
    <row r="63" spans="1:2">
      <c r="A63" s="45" t="s">
        <v>496</v>
      </c>
    </row>
    <row r="64" spans="1:2">
      <c r="A64" s="91" t="s">
        <v>145</v>
      </c>
      <c r="B64">
        <f>B35/B62</f>
        <v>3.910225734000408E-3</v>
      </c>
    </row>
    <row r="65" spans="1:2">
      <c r="A65" s="91" t="s">
        <v>146</v>
      </c>
      <c r="B65">
        <f>B36/B62</f>
        <v>7.8994459272735504E-4</v>
      </c>
    </row>
    <row r="66" spans="1:2">
      <c r="A66" s="91" t="s">
        <v>193</v>
      </c>
      <c r="B66">
        <f>B34/B62</f>
        <v>6.5170428900006782E-4</v>
      </c>
    </row>
    <row r="67" spans="1:2">
      <c r="A67" s="91" t="s">
        <v>52</v>
      </c>
      <c r="B67" s="96" t="s">
        <v>407</v>
      </c>
    </row>
    <row r="68" spans="1:2">
      <c r="A68" s="91" t="s">
        <v>54</v>
      </c>
      <c r="B68" s="96" t="s">
        <v>407</v>
      </c>
    </row>
    <row r="69" spans="1:2">
      <c r="A69" s="92" t="s">
        <v>339</v>
      </c>
      <c r="B69" s="96" t="s">
        <v>407</v>
      </c>
    </row>
    <row r="70" spans="1:2">
      <c r="A70" s="91" t="s">
        <v>167</v>
      </c>
      <c r="B70" s="96" t="s">
        <v>407</v>
      </c>
    </row>
    <row r="71" spans="1:2">
      <c r="A71" s="91" t="s">
        <v>168</v>
      </c>
      <c r="B71" s="13"/>
    </row>
    <row r="72" spans="1:2">
      <c r="A72" s="93" t="s">
        <v>78</v>
      </c>
      <c r="B72" s="96" t="s">
        <v>407</v>
      </c>
    </row>
    <row r="73" spans="1:2">
      <c r="A73" s="93" t="s">
        <v>56</v>
      </c>
      <c r="B73" s="96" t="s">
        <v>407</v>
      </c>
    </row>
    <row r="74" spans="1:2">
      <c r="A74" s="93" t="s">
        <v>87</v>
      </c>
      <c r="B74" s="96" t="s">
        <v>407</v>
      </c>
    </row>
    <row r="75" spans="1:2">
      <c r="A75" s="93" t="s">
        <v>74</v>
      </c>
      <c r="B75" s="96" t="s">
        <v>407</v>
      </c>
    </row>
    <row r="76" spans="1:2">
      <c r="A76" s="94" t="s">
        <v>76</v>
      </c>
      <c r="B76" s="96" t="s">
        <v>407</v>
      </c>
    </row>
    <row r="77" spans="1:2">
      <c r="A77" s="93" t="s">
        <v>179</v>
      </c>
      <c r="B77" s="96" t="s">
        <v>407</v>
      </c>
    </row>
    <row r="78" spans="1:2">
      <c r="A78" s="93"/>
      <c r="B78" s="95"/>
    </row>
    <row r="79" spans="1:2">
      <c r="A79" s="93" t="s">
        <v>88</v>
      </c>
      <c r="B79" s="96" t="s">
        <v>407</v>
      </c>
    </row>
    <row r="80" spans="1:2">
      <c r="A80" s="93" t="s">
        <v>189</v>
      </c>
      <c r="B80" s="96" t="s">
        <v>407</v>
      </c>
    </row>
    <row r="81" spans="1:2">
      <c r="A81" s="93"/>
      <c r="B81" s="95"/>
    </row>
    <row r="82" spans="1:2">
      <c r="A82" s="93" t="s">
        <v>184</v>
      </c>
      <c r="B82" s="95">
        <f>SUM(B32:B33)/B62</f>
        <v>7.988633220000832E-4</v>
      </c>
    </row>
    <row r="83" spans="1:2">
      <c r="A83" s="93" t="s">
        <v>183</v>
      </c>
      <c r="B83" s="95">
        <f>B32/B62</f>
        <v>7.2995552083340932E-5</v>
      </c>
    </row>
    <row r="84" spans="1:2">
      <c r="A84" s="94" t="s">
        <v>142</v>
      </c>
      <c r="B84" s="95">
        <f>B33/B62</f>
        <v>7.2586776991674228E-4</v>
      </c>
    </row>
  </sheetData>
  <phoneticPr fontId="2" type="noConversion"/>
  <pageMargins left="0.75" right="0.75" top="1" bottom="1" header="0.5" footer="0.5"/>
  <pageSetup paperSize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85"/>
  <sheetViews>
    <sheetView topLeftCell="A40" workbookViewId="0">
      <selection activeCell="B38" sqref="B38:I38"/>
    </sheetView>
  </sheetViews>
  <sheetFormatPr defaultRowHeight="12.75"/>
  <cols>
    <col min="1" max="1" width="35.85546875" customWidth="1"/>
    <col min="5" max="5" width="9.28515625" customWidth="1"/>
    <col min="6" max="6" width="9.28515625" bestFit="1" customWidth="1"/>
  </cols>
  <sheetData>
    <row r="1" spans="1:7" ht="15.75">
      <c r="A1" t="s">
        <v>150</v>
      </c>
      <c r="C1" s="5"/>
    </row>
    <row r="2" spans="1:7">
      <c r="A2" t="s">
        <v>151</v>
      </c>
    </row>
    <row r="3" spans="1:7">
      <c r="D3" s="8"/>
    </row>
    <row r="4" spans="1:7">
      <c r="A4" s="2" t="s">
        <v>1</v>
      </c>
      <c r="B4" s="2" t="s">
        <v>2</v>
      </c>
    </row>
    <row r="5" spans="1:7">
      <c r="A5" t="s">
        <v>10</v>
      </c>
      <c r="B5">
        <v>501</v>
      </c>
    </row>
    <row r="6" spans="1:7">
      <c r="A6" t="s">
        <v>11</v>
      </c>
      <c r="B6" t="s">
        <v>206</v>
      </c>
      <c r="C6" t="s">
        <v>207</v>
      </c>
      <c r="D6" t="s">
        <v>208</v>
      </c>
      <c r="E6" t="s">
        <v>209</v>
      </c>
      <c r="F6" t="s">
        <v>210</v>
      </c>
      <c r="G6" t="s">
        <v>211</v>
      </c>
    </row>
    <row r="7" spans="1:7">
      <c r="A7" t="s">
        <v>113</v>
      </c>
      <c r="B7">
        <v>68</v>
      </c>
    </row>
    <row r="8" spans="1:7">
      <c r="A8" t="s">
        <v>114</v>
      </c>
      <c r="B8">
        <v>26</v>
      </c>
      <c r="D8" s="9"/>
    </row>
    <row r="9" spans="1:7">
      <c r="A9" t="s">
        <v>3</v>
      </c>
    </row>
    <row r="10" spans="1:7">
      <c r="A10" t="s">
        <v>4</v>
      </c>
      <c r="B10">
        <v>21</v>
      </c>
    </row>
    <row r="11" spans="1:7">
      <c r="A11" t="s">
        <v>5</v>
      </c>
    </row>
    <row r="12" spans="1:7">
      <c r="A12" t="s">
        <v>6</v>
      </c>
    </row>
    <row r="13" spans="1:7">
      <c r="A13" t="s">
        <v>7</v>
      </c>
      <c r="B13">
        <f>1399082/2000</f>
        <v>699.54100000000005</v>
      </c>
      <c r="C13">
        <f>1506000/2000</f>
        <v>753</v>
      </c>
      <c r="D13">
        <f>1425759/2000</f>
        <v>712.87950000000001</v>
      </c>
      <c r="E13">
        <f>1650196/2000</f>
        <v>825.09799999999996</v>
      </c>
      <c r="F13">
        <f>1626340/2000</f>
        <v>813.17</v>
      </c>
      <c r="G13">
        <f>1623726/2000</f>
        <v>811.86300000000006</v>
      </c>
    </row>
    <row r="14" spans="1:7">
      <c r="A14" t="s">
        <v>8</v>
      </c>
    </row>
    <row r="15" spans="1:7">
      <c r="A15" t="s">
        <v>9</v>
      </c>
    </row>
    <row r="17" spans="1:7">
      <c r="A17" t="s">
        <v>212</v>
      </c>
      <c r="B17">
        <f>(33.93*22+35.4+37.93*13)/36</f>
        <v>35.415277777777781</v>
      </c>
      <c r="C17">
        <v>31.93</v>
      </c>
      <c r="D17">
        <f>(36.93*19+36.89+34.85+32.22+31.93*14)/36</f>
        <v>34.795833333333334</v>
      </c>
      <c r="E17">
        <f>(27*27+26.77+26.27+26*7)/36</f>
        <v>26.778888888888886</v>
      </c>
      <c r="F17">
        <f>(26*25+26.32+27.81+28*9)/36</f>
        <v>26.559166666666666</v>
      </c>
      <c r="G17">
        <f>(28*30+27.73+26.33+26*4)/36</f>
        <v>27.72388888888889</v>
      </c>
    </row>
    <row r="19" spans="1:7">
      <c r="B19" t="s">
        <v>14</v>
      </c>
    </row>
    <row r="20" spans="1:7">
      <c r="A20" t="s">
        <v>18</v>
      </c>
      <c r="B20" s="1">
        <v>39540</v>
      </c>
      <c r="C20" s="1">
        <v>39540</v>
      </c>
      <c r="D20" s="1">
        <v>39541</v>
      </c>
      <c r="E20" s="1">
        <v>39541</v>
      </c>
      <c r="F20" s="1">
        <v>39538</v>
      </c>
      <c r="G20" s="1">
        <v>39539</v>
      </c>
    </row>
    <row r="21" spans="1:7">
      <c r="A21" t="s">
        <v>112</v>
      </c>
      <c r="B21">
        <v>2</v>
      </c>
      <c r="C21">
        <v>2</v>
      </c>
      <c r="D21">
        <v>2</v>
      </c>
      <c r="E21">
        <v>2</v>
      </c>
      <c r="F21">
        <v>2</v>
      </c>
      <c r="G21">
        <v>2</v>
      </c>
    </row>
    <row r="22" spans="1:7">
      <c r="A22" t="s">
        <v>214</v>
      </c>
      <c r="B22">
        <v>163</v>
      </c>
      <c r="C22">
        <v>229</v>
      </c>
      <c r="D22">
        <v>226</v>
      </c>
      <c r="E22">
        <v>260</v>
      </c>
      <c r="F22">
        <v>180</v>
      </c>
      <c r="G22">
        <v>221</v>
      </c>
    </row>
    <row r="23" spans="1:7">
      <c r="A23" t="s">
        <v>213</v>
      </c>
      <c r="B23">
        <v>7</v>
      </c>
      <c r="C23">
        <v>60</v>
      </c>
      <c r="D23">
        <v>5</v>
      </c>
      <c r="E23">
        <v>60</v>
      </c>
      <c r="F23">
        <v>16</v>
      </c>
      <c r="G23">
        <v>60</v>
      </c>
    </row>
    <row r="24" spans="1:7">
      <c r="A24" t="s">
        <v>158</v>
      </c>
    </row>
    <row r="25" spans="1:7">
      <c r="A25" t="s">
        <v>24</v>
      </c>
      <c r="B25">
        <f>B13</f>
        <v>699.54100000000005</v>
      </c>
      <c r="C25">
        <f t="shared" ref="C25:G25" si="0">C13</f>
        <v>753</v>
      </c>
      <c r="D25">
        <f t="shared" si="0"/>
        <v>712.87950000000001</v>
      </c>
      <c r="E25">
        <f t="shared" si="0"/>
        <v>825.09799999999996</v>
      </c>
      <c r="F25">
        <f t="shared" si="0"/>
        <v>813.17</v>
      </c>
      <c r="G25">
        <f t="shared" si="0"/>
        <v>811.86300000000006</v>
      </c>
    </row>
    <row r="26" spans="1:7">
      <c r="A26" t="s">
        <v>115</v>
      </c>
      <c r="B26">
        <f>B17</f>
        <v>35.415277777777781</v>
      </c>
      <c r="C26">
        <f t="shared" ref="C26:G26" si="1">C17</f>
        <v>31.93</v>
      </c>
      <c r="D26">
        <f t="shared" si="1"/>
        <v>34.795833333333334</v>
      </c>
      <c r="E26">
        <f t="shared" si="1"/>
        <v>26.778888888888886</v>
      </c>
      <c r="F26">
        <f t="shared" si="1"/>
        <v>26.559166666666666</v>
      </c>
      <c r="G26">
        <f t="shared" si="1"/>
        <v>27.72388888888889</v>
      </c>
    </row>
    <row r="28" spans="1:7">
      <c r="A28" t="s">
        <v>558</v>
      </c>
      <c r="B28">
        <v>95</v>
      </c>
      <c r="C28">
        <v>95</v>
      </c>
      <c r="D28">
        <v>95</v>
      </c>
      <c r="E28">
        <v>95</v>
      </c>
      <c r="F28">
        <v>95</v>
      </c>
      <c r="G28">
        <v>95</v>
      </c>
    </row>
    <row r="29" spans="1:7">
      <c r="A29" t="s">
        <v>559</v>
      </c>
      <c r="B29">
        <v>14.6</v>
      </c>
      <c r="C29">
        <v>77.400000000000006</v>
      </c>
      <c r="D29">
        <v>51.8</v>
      </c>
      <c r="E29">
        <v>52.3</v>
      </c>
      <c r="F29">
        <v>33.5</v>
      </c>
      <c r="G29">
        <v>68.900000000000006</v>
      </c>
    </row>
    <row r="30" spans="1:7">
      <c r="A30" t="s">
        <v>277</v>
      </c>
      <c r="B30">
        <v>897</v>
      </c>
      <c r="C30">
        <v>367</v>
      </c>
      <c r="D30">
        <v>768</v>
      </c>
      <c r="E30">
        <v>339</v>
      </c>
      <c r="F30">
        <v>760</v>
      </c>
      <c r="G30">
        <v>453</v>
      </c>
    </row>
    <row r="31" spans="1:7">
      <c r="A31" t="s">
        <v>278</v>
      </c>
      <c r="B31">
        <v>670</v>
      </c>
      <c r="C31">
        <v>64</v>
      </c>
      <c r="D31">
        <v>270</v>
      </c>
      <c r="E31">
        <v>120</v>
      </c>
      <c r="F31">
        <v>452</v>
      </c>
      <c r="G31">
        <v>110</v>
      </c>
    </row>
    <row r="33" spans="1:10">
      <c r="A33" t="s">
        <v>140</v>
      </c>
      <c r="B33" t="s">
        <v>143</v>
      </c>
      <c r="I33" t="s">
        <v>182</v>
      </c>
    </row>
    <row r="34" spans="1:10">
      <c r="A34" t="s">
        <v>141</v>
      </c>
      <c r="B34">
        <f>B52*B$23/60</f>
        <v>9.1000000000000004E-3</v>
      </c>
      <c r="C34">
        <f t="shared" ref="C34:G34" si="2">C52*C$23/60</f>
        <v>0.28299999999999997</v>
      </c>
      <c r="D34">
        <f t="shared" si="2"/>
        <v>4.3333333333333331E-3</v>
      </c>
      <c r="E34">
        <f t="shared" si="2"/>
        <v>1.4999999999999998E-2</v>
      </c>
      <c r="F34">
        <f t="shared" si="2"/>
        <v>3.7333333333333333E-3</v>
      </c>
      <c r="G34">
        <f t="shared" si="2"/>
        <v>1.9E-2</v>
      </c>
      <c r="I34" s="13">
        <f>AVERAGE(B34:G34)</f>
        <v>5.5694444444444442E-2</v>
      </c>
    </row>
    <row r="35" spans="1:10">
      <c r="A35" t="s">
        <v>142</v>
      </c>
      <c r="B35">
        <f t="shared" ref="B35:G40" si="3">B53*B$23/60</f>
        <v>5.1333333333333335E-3</v>
      </c>
      <c r="C35">
        <f t="shared" si="3"/>
        <v>0.22</v>
      </c>
      <c r="D35">
        <f t="shared" si="3"/>
        <v>5.4166666666666669E-2</v>
      </c>
      <c r="E35">
        <f t="shared" si="3"/>
        <v>0.11999999999999998</v>
      </c>
      <c r="F35">
        <f t="shared" si="3"/>
        <v>0.14133333333333334</v>
      </c>
      <c r="G35">
        <f t="shared" si="3"/>
        <v>0.2</v>
      </c>
      <c r="I35" s="13">
        <f t="shared" ref="I35:I40" si="4">AVERAGE(B35:G35)</f>
        <v>0.12343888888888888</v>
      </c>
    </row>
    <row r="36" spans="1:10">
      <c r="A36" t="s">
        <v>218</v>
      </c>
      <c r="B36">
        <f t="shared" si="3"/>
        <v>1.4233333333333332E-2</v>
      </c>
      <c r="C36">
        <f t="shared" si="3"/>
        <v>0.503</v>
      </c>
      <c r="D36">
        <f t="shared" si="3"/>
        <v>5.8500000000000003E-2</v>
      </c>
      <c r="E36">
        <f t="shared" si="3"/>
        <v>0.13500000000000004</v>
      </c>
      <c r="F36">
        <f t="shared" si="3"/>
        <v>0.14506666666666668</v>
      </c>
      <c r="G36">
        <f t="shared" si="3"/>
        <v>0.219</v>
      </c>
      <c r="I36" s="13">
        <f t="shared" si="4"/>
        <v>0.17913333333333334</v>
      </c>
    </row>
    <row r="37" spans="1:10">
      <c r="A37" t="s">
        <v>144</v>
      </c>
      <c r="B37">
        <f t="shared" si="3"/>
        <v>18.083333333333332</v>
      </c>
      <c r="C37">
        <f t="shared" si="3"/>
        <v>6.87</v>
      </c>
      <c r="D37">
        <f t="shared" si="3"/>
        <v>4.4416666666666664</v>
      </c>
      <c r="E37">
        <f t="shared" si="3"/>
        <v>11.5</v>
      </c>
      <c r="F37">
        <f t="shared" si="3"/>
        <v>12.266666666666667</v>
      </c>
      <c r="G37">
        <f t="shared" si="3"/>
        <v>11.4</v>
      </c>
      <c r="I37" s="13">
        <f t="shared" si="4"/>
        <v>10.760277777777778</v>
      </c>
    </row>
    <row r="38" spans="1:10">
      <c r="A38" t="s">
        <v>145</v>
      </c>
      <c r="B38">
        <f t="shared" si="3"/>
        <v>14.447480106100796</v>
      </c>
      <c r="C38">
        <f t="shared" si="3"/>
        <v>44.276834862385321</v>
      </c>
      <c r="D38">
        <f t="shared" si="3"/>
        <v>13.634755085097549</v>
      </c>
      <c r="E38">
        <f t="shared" si="3"/>
        <v>72.685897435897431</v>
      </c>
      <c r="F38">
        <f t="shared" si="3"/>
        <v>23.084979919678712</v>
      </c>
      <c r="G38">
        <f t="shared" si="3"/>
        <v>32.939357907253275</v>
      </c>
      <c r="I38" s="13">
        <f t="shared" si="4"/>
        <v>33.511550886068854</v>
      </c>
    </row>
    <row r="39" spans="1:10">
      <c r="A39" t="s">
        <v>146</v>
      </c>
      <c r="B39">
        <f t="shared" si="3"/>
        <v>3.8756852343059243</v>
      </c>
      <c r="C39">
        <f t="shared" si="3"/>
        <v>12.652775229357797</v>
      </c>
      <c r="D39">
        <f t="shared" si="3"/>
        <v>5.6419676214196759</v>
      </c>
      <c r="E39">
        <f t="shared" si="3"/>
        <v>20.066025641025639</v>
      </c>
      <c r="F39">
        <f t="shared" si="3"/>
        <v>8.8970281124497976</v>
      </c>
      <c r="G39">
        <f t="shared" si="3"/>
        <v>13.229964328180737</v>
      </c>
      <c r="I39" s="13">
        <f t="shared" si="4"/>
        <v>10.727241027789928</v>
      </c>
    </row>
    <row r="40" spans="1:10">
      <c r="A40" t="s">
        <v>216</v>
      </c>
      <c r="B40">
        <f t="shared" si="3"/>
        <v>0</v>
      </c>
      <c r="C40">
        <f t="shared" si="3"/>
        <v>2.2599999999999998</v>
      </c>
      <c r="D40">
        <f t="shared" si="3"/>
        <v>0.17249999999999999</v>
      </c>
      <c r="E40">
        <f t="shared" si="3"/>
        <v>2.6600000000000006</v>
      </c>
      <c r="F40">
        <f t="shared" si="3"/>
        <v>0</v>
      </c>
      <c r="G40">
        <f t="shared" si="3"/>
        <v>3.7999999999999999E-2</v>
      </c>
      <c r="I40" s="13">
        <f t="shared" si="4"/>
        <v>0.85508333333333342</v>
      </c>
    </row>
    <row r="44" spans="1:10">
      <c r="A44" t="s">
        <v>140</v>
      </c>
      <c r="B44" t="s">
        <v>215</v>
      </c>
      <c r="I44" t="s">
        <v>182</v>
      </c>
    </row>
    <row r="45" spans="1:10">
      <c r="A45" t="s">
        <v>145</v>
      </c>
      <c r="B45">
        <f>74400/2+76200/2</f>
        <v>75300</v>
      </c>
      <c r="C45">
        <v>281000</v>
      </c>
      <c r="D45">
        <v>246500</v>
      </c>
      <c r="E45">
        <f>253000/2+240000/2</f>
        <v>246500</v>
      </c>
      <c r="F45">
        <f>78700/2+77500/2</f>
        <v>78100</v>
      </c>
      <c r="G45">
        <f>130000/2+113000/2</f>
        <v>121500</v>
      </c>
      <c r="I45">
        <f>AVERAGE(B45:G45)</f>
        <v>174816.66666666666</v>
      </c>
      <c r="J45" s="22">
        <f>I45/1000000</f>
        <v>0.17481666666666665</v>
      </c>
    </row>
    <row r="46" spans="1:10">
      <c r="A46" t="s">
        <v>195</v>
      </c>
      <c r="B46">
        <f>19200/2+21200/2</f>
        <v>20200</v>
      </c>
      <c r="C46">
        <f>79800/2+80800/2</f>
        <v>80300</v>
      </c>
      <c r="D46">
        <v>102000</v>
      </c>
      <c r="E46">
        <f>70600/2+65500/2</f>
        <v>68050</v>
      </c>
      <c r="F46">
        <f>30600/2+29600/2</f>
        <v>30100</v>
      </c>
      <c r="G46">
        <f>53200/2+44400/2</f>
        <v>48800</v>
      </c>
      <c r="I46">
        <f t="shared" ref="I46:I47" si="5">AVERAGE(B46:G46)</f>
        <v>58241.666666666664</v>
      </c>
      <c r="J46" s="22">
        <f t="shared" ref="J46:J47" si="6">I46/1000000</f>
        <v>5.8241666666666664E-2</v>
      </c>
    </row>
    <row r="47" spans="1:10">
      <c r="A47" t="s">
        <v>194</v>
      </c>
      <c r="B47">
        <f>89700/2+98800/2</f>
        <v>94250</v>
      </c>
      <c r="C47">
        <v>43600</v>
      </c>
      <c r="D47">
        <f>79400/2+81200/2</f>
        <v>80300</v>
      </c>
      <c r="E47">
        <f>34200/2+43800/2</f>
        <v>39000</v>
      </c>
      <c r="F47">
        <f>42400/2+40600/2</f>
        <v>41500</v>
      </c>
      <c r="G47">
        <f>45200/2+38900/2</f>
        <v>42050</v>
      </c>
      <c r="I47">
        <f t="shared" si="5"/>
        <v>56783.333333333336</v>
      </c>
      <c r="J47" s="22">
        <f t="shared" si="6"/>
        <v>5.6783333333333338E-2</v>
      </c>
    </row>
    <row r="48" spans="1:10">
      <c r="A48" t="s">
        <v>216</v>
      </c>
      <c r="C48">
        <v>6529</v>
      </c>
      <c r="D48">
        <v>5994</v>
      </c>
      <c r="E48">
        <v>7698</v>
      </c>
      <c r="G48">
        <v>109</v>
      </c>
    </row>
    <row r="51" spans="1:7">
      <c r="A51" t="s">
        <v>140</v>
      </c>
      <c r="B51" t="s">
        <v>217</v>
      </c>
    </row>
    <row r="52" spans="1:7">
      <c r="A52" t="s">
        <v>141</v>
      </c>
      <c r="B52">
        <v>7.8E-2</v>
      </c>
      <c r="C52">
        <v>0.28299999999999997</v>
      </c>
      <c r="D52">
        <v>5.1999999999999998E-2</v>
      </c>
      <c r="E52">
        <v>1.4999999999999999E-2</v>
      </c>
      <c r="F52">
        <v>1.4E-2</v>
      </c>
      <c r="G52">
        <v>1.9E-2</v>
      </c>
    </row>
    <row r="53" spans="1:7">
      <c r="A53" t="s">
        <v>142</v>
      </c>
      <c r="B53">
        <v>4.3999999999999997E-2</v>
      </c>
      <c r="C53">
        <v>0.22</v>
      </c>
      <c r="D53">
        <v>0.65</v>
      </c>
      <c r="E53">
        <v>0.12</v>
      </c>
      <c r="F53">
        <v>0.53</v>
      </c>
      <c r="G53">
        <v>0.2</v>
      </c>
    </row>
    <row r="54" spans="1:7">
      <c r="A54" t="s">
        <v>218</v>
      </c>
      <c r="B54">
        <f>B52+B53</f>
        <v>0.122</v>
      </c>
      <c r="C54">
        <f t="shared" ref="C54:G54" si="7">C52+C53</f>
        <v>0.503</v>
      </c>
      <c r="D54">
        <f t="shared" si="7"/>
        <v>0.70200000000000007</v>
      </c>
      <c r="E54">
        <f t="shared" si="7"/>
        <v>0.13500000000000001</v>
      </c>
      <c r="F54">
        <f t="shared" si="7"/>
        <v>0.54400000000000004</v>
      </c>
      <c r="G54">
        <f t="shared" si="7"/>
        <v>0.219</v>
      </c>
    </row>
    <row r="55" spans="1:7">
      <c r="A55" t="s">
        <v>144</v>
      </c>
      <c r="B55">
        <v>155</v>
      </c>
      <c r="C55">
        <v>6.87</v>
      </c>
      <c r="D55">
        <v>53.3</v>
      </c>
      <c r="E55">
        <v>11.5</v>
      </c>
      <c r="F55">
        <v>46</v>
      </c>
      <c r="G55">
        <v>11.4</v>
      </c>
    </row>
    <row r="56" spans="1:7">
      <c r="A56" t="s">
        <v>145</v>
      </c>
      <c r="B56">
        <f>B45/B$47*B$55</f>
        <v>123.83554376657825</v>
      </c>
      <c r="C56">
        <f t="shared" ref="C56:G56" si="8">C45/C$47*C$55</f>
        <v>44.276834862385321</v>
      </c>
      <c r="D56">
        <f t="shared" si="8"/>
        <v>163.6170610211706</v>
      </c>
      <c r="E56">
        <f t="shared" si="8"/>
        <v>72.685897435897431</v>
      </c>
      <c r="F56">
        <f t="shared" si="8"/>
        <v>86.568674698795178</v>
      </c>
      <c r="G56">
        <f t="shared" si="8"/>
        <v>32.939357907253275</v>
      </c>
    </row>
    <row r="57" spans="1:7">
      <c r="A57" t="s">
        <v>146</v>
      </c>
      <c r="B57">
        <f>B46/B$47*B$55</f>
        <v>33.220159151193634</v>
      </c>
      <c r="C57">
        <f t="shared" ref="C57:G57" si="9">C46/C$47*C$55</f>
        <v>12.652775229357797</v>
      </c>
      <c r="D57">
        <f t="shared" si="9"/>
        <v>67.703611457036104</v>
      </c>
      <c r="E57">
        <f t="shared" si="9"/>
        <v>20.066025641025639</v>
      </c>
      <c r="F57">
        <f t="shared" si="9"/>
        <v>33.363855421686743</v>
      </c>
      <c r="G57">
        <f t="shared" si="9"/>
        <v>13.229964328180737</v>
      </c>
    </row>
    <row r="58" spans="1:7">
      <c r="A58" t="s">
        <v>216</v>
      </c>
      <c r="B58" s="20"/>
      <c r="C58">
        <v>2.2599999999999998</v>
      </c>
      <c r="D58">
        <v>2.0699999999999998</v>
      </c>
      <c r="E58">
        <v>2.66</v>
      </c>
      <c r="G58">
        <v>3.7999999999999999E-2</v>
      </c>
    </row>
    <row r="59" spans="1:7">
      <c r="B59" s="20"/>
    </row>
    <row r="60" spans="1:7">
      <c r="A60" s="3" t="s">
        <v>497</v>
      </c>
    </row>
    <row r="61" spans="1:7">
      <c r="B61" s="2" t="s">
        <v>14</v>
      </c>
      <c r="C61" s="2" t="s">
        <v>15</v>
      </c>
      <c r="D61" s="2" t="s">
        <v>16</v>
      </c>
      <c r="E61" s="2" t="s">
        <v>17</v>
      </c>
      <c r="F61" s="98" t="s">
        <v>224</v>
      </c>
      <c r="G61" s="98" t="s">
        <v>225</v>
      </c>
    </row>
    <row r="62" spans="1:7">
      <c r="A62" s="45" t="s">
        <v>494</v>
      </c>
      <c r="B62" s="45">
        <f>B31*B28/(100-B28)*B23</f>
        <v>89110</v>
      </c>
      <c r="C62" s="45">
        <f t="shared" ref="C62:G62" si="10">C31*C28/(100-C28)*C23</f>
        <v>72960</v>
      </c>
      <c r="D62" s="45">
        <f t="shared" si="10"/>
        <v>25650</v>
      </c>
      <c r="E62" s="45">
        <f t="shared" si="10"/>
        <v>136800</v>
      </c>
      <c r="F62" s="45">
        <f t="shared" si="10"/>
        <v>137408</v>
      </c>
      <c r="G62" s="45">
        <f t="shared" si="10"/>
        <v>125400</v>
      </c>
    </row>
    <row r="63" spans="1:7">
      <c r="A63" s="45" t="s">
        <v>495</v>
      </c>
      <c r="B63">
        <f>B62/849.5*18*2.2046</f>
        <v>4162.6066015303122</v>
      </c>
      <c r="C63">
        <f t="shared" ref="C63:G63" si="11">C62/849.5*18*2.2046</f>
        <v>3408.1896268393175</v>
      </c>
      <c r="D63">
        <f t="shared" si="11"/>
        <v>1198.1916656856974</v>
      </c>
      <c r="E63">
        <f t="shared" si="11"/>
        <v>6390.3555503237203</v>
      </c>
      <c r="F63">
        <f t="shared" si="11"/>
        <v>6418.7571305473821</v>
      </c>
      <c r="G63">
        <f t="shared" si="11"/>
        <v>5857.8259211300765</v>
      </c>
    </row>
    <row r="64" spans="1:7">
      <c r="A64" s="45" t="s">
        <v>496</v>
      </c>
    </row>
    <row r="65" spans="1:9">
      <c r="A65" s="91" t="s">
        <v>145</v>
      </c>
      <c r="B65">
        <f>B38/B$63</f>
        <v>3.4707772050304787E-3</v>
      </c>
      <c r="C65">
        <f t="shared" ref="C65:G65" si="12">C38/C$63</f>
        <v>1.2991306150839592E-2</v>
      </c>
      <c r="D65">
        <f t="shared" si="12"/>
        <v>1.1379444103623182E-2</v>
      </c>
      <c r="E65">
        <f t="shared" si="12"/>
        <v>1.1374311939844308E-2</v>
      </c>
      <c r="F65">
        <f t="shared" si="12"/>
        <v>3.5964875208964416E-3</v>
      </c>
      <c r="G65">
        <f t="shared" si="12"/>
        <v>5.623137039364034E-3</v>
      </c>
      <c r="I65">
        <f>AVERAGE(B65:G65)</f>
        <v>8.0725773265996736E-3</v>
      </c>
    </row>
    <row r="66" spans="1:9">
      <c r="A66" s="91" t="s">
        <v>146</v>
      </c>
      <c r="B66">
        <f>B39/B$63</f>
        <v>9.3107170705996906E-4</v>
      </c>
      <c r="C66">
        <f t="shared" ref="C66:G66" si="13">C39/C$63</f>
        <v>3.7124622203288937E-3</v>
      </c>
      <c r="D66">
        <f t="shared" si="13"/>
        <v>4.7087354911544204E-3</v>
      </c>
      <c r="E66">
        <f t="shared" si="13"/>
        <v>3.1400483874499193E-3</v>
      </c>
      <c r="F66">
        <f t="shared" si="13"/>
        <v>1.3860982634952995E-3</v>
      </c>
      <c r="G66">
        <f t="shared" si="13"/>
        <v>2.2585110084030026E-3</v>
      </c>
      <c r="I66">
        <f t="shared" ref="I66:I67" si="14">AVERAGE(B66:G66)</f>
        <v>2.6894878463152509E-3</v>
      </c>
    </row>
    <row r="67" spans="1:9">
      <c r="A67" s="91" t="s">
        <v>193</v>
      </c>
      <c r="B67">
        <f>B37/B$63</f>
        <v>4.3442330886337656E-3</v>
      </c>
      <c r="C67">
        <f t="shared" ref="C67:G67" si="15">C37/C$63</f>
        <v>2.0157329116605206E-3</v>
      </c>
      <c r="D67">
        <f t="shared" si="15"/>
        <v>3.7069750974480392E-3</v>
      </c>
      <c r="E67">
        <f t="shared" si="15"/>
        <v>1.7995868789206005E-3</v>
      </c>
      <c r="F67">
        <f t="shared" si="15"/>
        <v>1.9110657121280711E-3</v>
      </c>
      <c r="G67">
        <f t="shared" si="15"/>
        <v>1.9461145062161121E-3</v>
      </c>
      <c r="I67">
        <f t="shared" si="14"/>
        <v>2.6206180325011852E-3</v>
      </c>
    </row>
    <row r="68" spans="1:9">
      <c r="A68" s="91" t="s">
        <v>52</v>
      </c>
    </row>
    <row r="69" spans="1:9">
      <c r="A69" s="91" t="s">
        <v>54</v>
      </c>
    </row>
    <row r="70" spans="1:9">
      <c r="A70" s="92" t="s">
        <v>339</v>
      </c>
    </row>
    <row r="71" spans="1:9">
      <c r="A71" s="91" t="s">
        <v>167</v>
      </c>
    </row>
    <row r="72" spans="1:9">
      <c r="A72" s="91" t="s">
        <v>168</v>
      </c>
      <c r="B72" s="13"/>
    </row>
    <row r="73" spans="1:9">
      <c r="A73" s="93" t="s">
        <v>78</v>
      </c>
      <c r="B73" s="95"/>
      <c r="C73" s="95"/>
      <c r="D73" s="95"/>
      <c r="E73" s="95"/>
    </row>
    <row r="74" spans="1:9">
      <c r="A74" s="93" t="s">
        <v>56</v>
      </c>
      <c r="B74" s="95"/>
      <c r="C74" s="95"/>
      <c r="D74" s="95"/>
      <c r="E74" s="95"/>
    </row>
    <row r="75" spans="1:9">
      <c r="A75" s="93" t="s">
        <v>87</v>
      </c>
      <c r="B75" s="95"/>
      <c r="C75" s="95"/>
      <c r="D75" s="95"/>
      <c r="E75" s="95"/>
    </row>
    <row r="76" spans="1:9">
      <c r="A76" s="93" t="s">
        <v>74</v>
      </c>
      <c r="B76" s="95"/>
      <c r="C76" s="95"/>
      <c r="D76" s="95"/>
      <c r="E76" s="95"/>
    </row>
    <row r="77" spans="1:9">
      <c r="A77" s="94" t="s">
        <v>76</v>
      </c>
      <c r="B77" s="95"/>
      <c r="C77" s="95"/>
      <c r="D77" s="95"/>
      <c r="E77" s="95"/>
    </row>
    <row r="78" spans="1:9">
      <c r="A78" s="93" t="s">
        <v>179</v>
      </c>
      <c r="B78" s="95"/>
      <c r="C78" s="95"/>
      <c r="D78" s="95"/>
      <c r="E78" s="95"/>
    </row>
    <row r="79" spans="1:9">
      <c r="A79" s="93"/>
      <c r="B79" s="95"/>
      <c r="C79" s="95"/>
      <c r="D79" s="95"/>
      <c r="E79" s="95"/>
    </row>
    <row r="80" spans="1:9">
      <c r="A80" s="93" t="s">
        <v>88</v>
      </c>
      <c r="B80" s="95"/>
      <c r="C80" s="95"/>
      <c r="D80" s="95"/>
      <c r="E80" s="95"/>
    </row>
    <row r="81" spans="1:5">
      <c r="A81" s="93" t="s">
        <v>189</v>
      </c>
      <c r="B81" s="95"/>
      <c r="C81" s="95"/>
      <c r="D81" s="95"/>
      <c r="E81" s="95"/>
    </row>
    <row r="82" spans="1:5">
      <c r="A82" s="93"/>
      <c r="B82" s="95"/>
      <c r="C82" s="95"/>
      <c r="D82" s="95"/>
      <c r="E82" s="95"/>
    </row>
    <row r="83" spans="1:5">
      <c r="A83" s="93" t="s">
        <v>184</v>
      </c>
      <c r="B83" s="95"/>
      <c r="C83" s="95"/>
      <c r="D83" s="95"/>
      <c r="E83" s="95"/>
    </row>
    <row r="84" spans="1:5">
      <c r="A84" s="93" t="s">
        <v>183</v>
      </c>
      <c r="B84" s="95"/>
      <c r="C84" s="95"/>
      <c r="D84" s="95"/>
      <c r="E84" s="95"/>
    </row>
    <row r="85" spans="1:5">
      <c r="A85" s="94" t="s">
        <v>142</v>
      </c>
      <c r="B85" s="95"/>
      <c r="C85" s="95"/>
      <c r="D85" s="95"/>
      <c r="E85" s="95"/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84"/>
  <sheetViews>
    <sheetView topLeftCell="A13" workbookViewId="0">
      <selection activeCell="F58" sqref="F58"/>
    </sheetView>
  </sheetViews>
  <sheetFormatPr defaultRowHeight="12.75"/>
  <cols>
    <col min="1" max="1" width="36.85546875" customWidth="1"/>
    <col min="2" max="2" width="12.42578125" bestFit="1" customWidth="1"/>
  </cols>
  <sheetData>
    <row r="1" spans="1:6" ht="15.75">
      <c r="A1" t="s">
        <v>109</v>
      </c>
      <c r="C1" s="5" t="s">
        <v>110</v>
      </c>
    </row>
    <row r="2" spans="1:6">
      <c r="A2" t="s">
        <v>108</v>
      </c>
      <c r="C2" t="s">
        <v>111</v>
      </c>
    </row>
    <row r="3" spans="1:6">
      <c r="C3" t="s">
        <v>157</v>
      </c>
      <c r="D3" s="1">
        <v>37713</v>
      </c>
    </row>
    <row r="4" spans="1:6">
      <c r="A4" s="2" t="s">
        <v>1</v>
      </c>
      <c r="B4" s="2" t="s">
        <v>2</v>
      </c>
    </row>
    <row r="5" spans="1:6">
      <c r="A5" t="s">
        <v>10</v>
      </c>
      <c r="B5" t="s">
        <v>117</v>
      </c>
    </row>
    <row r="6" spans="1:6">
      <c r="A6" t="s">
        <v>11</v>
      </c>
      <c r="B6" t="s">
        <v>118</v>
      </c>
    </row>
    <row r="7" spans="1:6">
      <c r="A7" t="s">
        <v>113</v>
      </c>
      <c r="B7">
        <v>80</v>
      </c>
    </row>
    <row r="8" spans="1:6">
      <c r="A8" t="s">
        <v>114</v>
      </c>
      <c r="B8">
        <v>18</v>
      </c>
      <c r="D8" s="9">
        <f>PI()*(B8/2)^2*B7</f>
        <v>20357.520395261858</v>
      </c>
      <c r="F8">
        <f>1-D13/D8</f>
        <v>0.72216122162886265</v>
      </c>
    </row>
    <row r="9" spans="1:6">
      <c r="A9" t="s">
        <v>3</v>
      </c>
    </row>
    <row r="10" spans="1:6">
      <c r="A10" t="s">
        <v>4</v>
      </c>
      <c r="B10">
        <v>16</v>
      </c>
    </row>
    <row r="11" spans="1:6">
      <c r="A11" t="s">
        <v>5</v>
      </c>
    </row>
    <row r="12" spans="1:6">
      <c r="A12" t="s">
        <v>6</v>
      </c>
    </row>
    <row r="13" spans="1:6">
      <c r="A13" t="s">
        <v>7</v>
      </c>
      <c r="B13">
        <v>300</v>
      </c>
      <c r="D13" s="9">
        <f>B13*2000/(1.7*62.4)</f>
        <v>5656.1085972850678</v>
      </c>
      <c r="E13" t="s">
        <v>165</v>
      </c>
      <c r="F13">
        <f>1-D13/(D8*(1-D24))</f>
        <v>0.62954829550515012</v>
      </c>
    </row>
    <row r="14" spans="1:6">
      <c r="A14" t="s">
        <v>8</v>
      </c>
    </row>
    <row r="15" spans="1:6">
      <c r="A15" t="s">
        <v>9</v>
      </c>
    </row>
    <row r="18" spans="1:5">
      <c r="B18" t="s">
        <v>14</v>
      </c>
    </row>
    <row r="19" spans="1:5">
      <c r="A19" t="s">
        <v>18</v>
      </c>
      <c r="B19" s="1">
        <v>37713</v>
      </c>
      <c r="C19" s="1"/>
      <c r="D19" s="1"/>
      <c r="E19" s="1"/>
    </row>
    <row r="20" spans="1:5">
      <c r="A20" t="s">
        <v>112</v>
      </c>
      <c r="B20">
        <v>11</v>
      </c>
    </row>
    <row r="21" spans="1:5">
      <c r="A21" t="s">
        <v>23</v>
      </c>
      <c r="B21">
        <v>11.3</v>
      </c>
      <c r="C21" t="s">
        <v>116</v>
      </c>
    </row>
    <row r="22" spans="1:5">
      <c r="A22" t="s">
        <v>158</v>
      </c>
      <c r="B22">
        <v>37500</v>
      </c>
    </row>
    <row r="23" spans="1:5">
      <c r="A23" t="s">
        <v>24</v>
      </c>
    </row>
    <row r="24" spans="1:5">
      <c r="A24" t="s">
        <v>115</v>
      </c>
      <c r="B24">
        <v>20</v>
      </c>
      <c r="D24">
        <f>B24/B7</f>
        <v>0.25</v>
      </c>
    </row>
    <row r="26" spans="1:5">
      <c r="A26" t="s">
        <v>31</v>
      </c>
      <c r="B26">
        <v>0.97660000000000002</v>
      </c>
    </row>
    <row r="28" spans="1:5">
      <c r="B28" t="s">
        <v>119</v>
      </c>
      <c r="C28" t="s">
        <v>120</v>
      </c>
    </row>
    <row r="31" spans="1:5">
      <c r="A31" t="s">
        <v>140</v>
      </c>
      <c r="B31" t="s">
        <v>143</v>
      </c>
    </row>
    <row r="32" spans="1:5">
      <c r="A32" t="s">
        <v>141</v>
      </c>
      <c r="B32">
        <v>0.34</v>
      </c>
    </row>
    <row r="33" spans="1:5">
      <c r="A33" t="s">
        <v>142</v>
      </c>
      <c r="B33">
        <v>0.54</v>
      </c>
    </row>
    <row r="34" spans="1:5">
      <c r="A34" t="s">
        <v>144</v>
      </c>
      <c r="B34">
        <v>1.38</v>
      </c>
    </row>
    <row r="35" spans="1:5">
      <c r="A35" t="s">
        <v>145</v>
      </c>
      <c r="B35">
        <f>67.22*11.3/60</f>
        <v>12.659766666666666</v>
      </c>
      <c r="E35">
        <f>B35/36*24*6*365/2000</f>
        <v>9.2416296666666664</v>
      </c>
    </row>
    <row r="36" spans="1:5">
      <c r="A36" t="s">
        <v>146</v>
      </c>
      <c r="B36">
        <f>12.09*11.3/60</f>
        <v>2.2769500000000003</v>
      </c>
    </row>
    <row r="37" spans="1:5">
      <c r="A37" t="s">
        <v>52</v>
      </c>
      <c r="B37">
        <f>0.353*11.3/60</f>
        <v>6.6481666666666675E-2</v>
      </c>
    </row>
    <row r="38" spans="1:5">
      <c r="A38" t="s">
        <v>54</v>
      </c>
      <c r="B38">
        <f>0.758*11.3/60</f>
        <v>0.14275666666666667</v>
      </c>
    </row>
    <row r="39" spans="1:5">
      <c r="A39" t="s">
        <v>147</v>
      </c>
      <c r="B39">
        <f>0.05*11.3/60</f>
        <v>9.4166666666666669E-3</v>
      </c>
    </row>
    <row r="40" spans="1:5">
      <c r="A40" t="s">
        <v>148</v>
      </c>
      <c r="B40">
        <f>(0.434+0.062)*11.3/60</f>
        <v>9.3413333333333334E-2</v>
      </c>
    </row>
    <row r="42" spans="1:5">
      <c r="A42" t="s">
        <v>140</v>
      </c>
      <c r="B42" t="s">
        <v>149</v>
      </c>
    </row>
    <row r="43" spans="1:5">
      <c r="A43" t="s">
        <v>194</v>
      </c>
      <c r="B43">
        <v>44700</v>
      </c>
      <c r="D43">
        <f t="shared" ref="D43:D49" si="0">B43*(1-B$26)</f>
        <v>1045.9799999999989</v>
      </c>
    </row>
    <row r="44" spans="1:5">
      <c r="A44" t="s">
        <v>145</v>
      </c>
      <c r="B44">
        <v>369000</v>
      </c>
      <c r="C44">
        <f>B44/1000000</f>
        <v>0.36899999999999999</v>
      </c>
      <c r="D44">
        <f t="shared" si="0"/>
        <v>8634.5999999999913</v>
      </c>
      <c r="E44" s="19">
        <f>D44/1000000</f>
        <v>8.6345999999999905E-3</v>
      </c>
    </row>
    <row r="45" spans="1:5">
      <c r="A45" t="s">
        <v>195</v>
      </c>
      <c r="B45">
        <v>70700</v>
      </c>
      <c r="D45">
        <f t="shared" si="0"/>
        <v>1654.3799999999983</v>
      </c>
    </row>
    <row r="46" spans="1:5">
      <c r="A46" t="s">
        <v>52</v>
      </c>
      <c r="B46">
        <v>397.5</v>
      </c>
      <c r="D46">
        <f t="shared" si="0"/>
        <v>9.3014999999999901</v>
      </c>
    </row>
    <row r="47" spans="1:5">
      <c r="A47" t="s">
        <v>54</v>
      </c>
      <c r="B47">
        <v>723</v>
      </c>
      <c r="D47">
        <f t="shared" si="0"/>
        <v>16.918199999999985</v>
      </c>
    </row>
    <row r="48" spans="1:5">
      <c r="A48" t="s">
        <v>147</v>
      </c>
      <c r="B48">
        <v>41.5</v>
      </c>
      <c r="D48">
        <f t="shared" si="0"/>
        <v>0.97109999999999896</v>
      </c>
    </row>
    <row r="49" spans="1:4">
      <c r="A49" t="s">
        <v>148</v>
      </c>
      <c r="B49">
        <f>359+51.3</f>
        <v>410.3</v>
      </c>
      <c r="D49">
        <f t="shared" si="0"/>
        <v>9.6010199999999912</v>
      </c>
    </row>
    <row r="52" spans="1:4">
      <c r="A52" t="s">
        <v>190</v>
      </c>
      <c r="B52">
        <v>3547</v>
      </c>
    </row>
    <row r="53" spans="1:4">
      <c r="A53" t="s">
        <v>191</v>
      </c>
      <c r="B53">
        <v>82.96</v>
      </c>
    </row>
    <row r="54" spans="1:4">
      <c r="A54" t="s">
        <v>192</v>
      </c>
      <c r="B54">
        <v>11</v>
      </c>
    </row>
    <row r="56" spans="1:4">
      <c r="A56" s="45" t="s">
        <v>509</v>
      </c>
      <c r="B56" s="20">
        <f>B52*B$54</f>
        <v>39017</v>
      </c>
    </row>
    <row r="57" spans="1:4">
      <c r="A57" s="45" t="s">
        <v>510</v>
      </c>
      <c r="B57" s="20">
        <f>B53*B$54</f>
        <v>912.56</v>
      </c>
    </row>
    <row r="59" spans="1:4">
      <c r="A59" s="3" t="s">
        <v>497</v>
      </c>
    </row>
    <row r="60" spans="1:4">
      <c r="B60" s="2" t="s">
        <v>14</v>
      </c>
    </row>
    <row r="61" spans="1:4">
      <c r="A61" s="45" t="s">
        <v>494</v>
      </c>
      <c r="B61" s="20">
        <f>(B56-B57)</f>
        <v>38104.44</v>
      </c>
    </row>
    <row r="62" spans="1:4">
      <c r="A62" s="45" t="s">
        <v>495</v>
      </c>
      <c r="B62">
        <f>B61/849.5*18*2.2046</f>
        <v>1779.9774827922311</v>
      </c>
    </row>
    <row r="63" spans="1:4">
      <c r="A63" s="45" t="s">
        <v>496</v>
      </c>
    </row>
    <row r="64" spans="1:4">
      <c r="A64" s="91" t="s">
        <v>145</v>
      </c>
      <c r="B64">
        <f>B35/B62</f>
        <v>7.1123184360778711E-3</v>
      </c>
    </row>
    <row r="65" spans="1:2">
      <c r="A65" s="91" t="s">
        <v>146</v>
      </c>
      <c r="B65">
        <f>B36/B62</f>
        <v>1.2792015753076685E-3</v>
      </c>
    </row>
    <row r="66" spans="1:2">
      <c r="A66" s="91" t="s">
        <v>193</v>
      </c>
      <c r="B66">
        <f>B34/B62</f>
        <v>7.7529070639433548E-4</v>
      </c>
    </row>
    <row r="67" spans="1:2">
      <c r="A67" s="91" t="s">
        <v>52</v>
      </c>
      <c r="B67">
        <f>B37/B62</f>
        <v>3.7349723414690399E-5</v>
      </c>
    </row>
    <row r="68" spans="1:2">
      <c r="A68" s="91" t="s">
        <v>54</v>
      </c>
      <c r="B68">
        <f>B38/B62</f>
        <v>8.0201389088768623E-5</v>
      </c>
    </row>
    <row r="69" spans="1:2">
      <c r="A69" s="92" t="s">
        <v>339</v>
      </c>
      <c r="B69">
        <f>B39/B62</f>
        <v>5.2903290955652126E-6</v>
      </c>
    </row>
    <row r="70" spans="1:2">
      <c r="A70" s="91" t="s">
        <v>167</v>
      </c>
      <c r="B70">
        <f>B40/B62</f>
        <v>5.2480064628006904E-5</v>
      </c>
    </row>
    <row r="71" spans="1:2">
      <c r="A71" s="91" t="s">
        <v>168</v>
      </c>
      <c r="B71" s="13"/>
    </row>
    <row r="72" spans="1:2">
      <c r="A72" s="93" t="s">
        <v>78</v>
      </c>
      <c r="B72" s="96" t="s">
        <v>407</v>
      </c>
    </row>
    <row r="73" spans="1:2">
      <c r="A73" s="93" t="s">
        <v>56</v>
      </c>
      <c r="B73" s="96" t="s">
        <v>407</v>
      </c>
    </row>
    <row r="74" spans="1:2">
      <c r="A74" s="93" t="s">
        <v>87</v>
      </c>
      <c r="B74" s="96" t="s">
        <v>407</v>
      </c>
    </row>
    <row r="75" spans="1:2">
      <c r="A75" s="93" t="s">
        <v>74</v>
      </c>
      <c r="B75" s="96" t="s">
        <v>407</v>
      </c>
    </row>
    <row r="76" spans="1:2">
      <c r="A76" s="94" t="s">
        <v>76</v>
      </c>
      <c r="B76" s="96" t="s">
        <v>407</v>
      </c>
    </row>
    <row r="77" spans="1:2">
      <c r="A77" s="93" t="s">
        <v>179</v>
      </c>
      <c r="B77" s="96" t="s">
        <v>407</v>
      </c>
    </row>
    <row r="78" spans="1:2">
      <c r="A78" s="93"/>
      <c r="B78" s="95"/>
    </row>
    <row r="79" spans="1:2">
      <c r="A79" s="93" t="s">
        <v>88</v>
      </c>
      <c r="B79" s="96" t="s">
        <v>407</v>
      </c>
    </row>
    <row r="80" spans="1:2">
      <c r="A80" s="93" t="s">
        <v>189</v>
      </c>
      <c r="B80" s="96" t="s">
        <v>407</v>
      </c>
    </row>
    <row r="81" spans="1:2">
      <c r="A81" s="93"/>
      <c r="B81" s="95"/>
    </row>
    <row r="82" spans="1:2">
      <c r="A82" s="93" t="s">
        <v>184</v>
      </c>
      <c r="B82" s="95">
        <f>SUM(B32:B33)/B62</f>
        <v>4.9438827654131547E-4</v>
      </c>
    </row>
    <row r="83" spans="1:2">
      <c r="A83" s="93" t="s">
        <v>183</v>
      </c>
      <c r="B83" s="95">
        <f>B32/B62</f>
        <v>1.910136523000537E-4</v>
      </c>
    </row>
    <row r="84" spans="1:2">
      <c r="A84" s="94" t="s">
        <v>142</v>
      </c>
      <c r="B84" s="95">
        <f>B33/B62</f>
        <v>3.0337462424126174E-4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Pollutant_Tables</vt:lpstr>
      <vt:lpstr>Summary</vt:lpstr>
      <vt:lpstr>FacNameIDKey</vt:lpstr>
      <vt:lpstr>Hovensa</vt:lpstr>
      <vt:lpstr>Shell</vt:lpstr>
      <vt:lpstr>ConocoPhillips</vt:lpstr>
      <vt:lpstr>Chevron</vt:lpstr>
      <vt:lpstr>Chevron_2008</vt:lpstr>
      <vt:lpstr>ExM_Torrance</vt:lpstr>
      <vt:lpstr>Citgo</vt:lpstr>
      <vt:lpstr>Marathon</vt:lpstr>
      <vt:lpstr>Houston1</vt:lpstr>
      <vt:lpstr>Houston2</vt:lpstr>
      <vt:lpstr>Houston_FTIR</vt:lpstr>
      <vt:lpstr>BP_Husky</vt:lpstr>
      <vt:lpstr>ExM_Baytown</vt:lpstr>
      <vt:lpstr>Valero_Ultramar</vt:lpstr>
      <vt:lpstr>BP_Arco</vt:lpstr>
    </vt:vector>
  </TitlesOfParts>
  <Company>RTI,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cob</dc:creator>
  <cp:lastModifiedBy>Jeff Coburn</cp:lastModifiedBy>
  <dcterms:created xsi:type="dcterms:W3CDTF">2009-09-01T15:29:35Z</dcterms:created>
  <dcterms:modified xsi:type="dcterms:W3CDTF">2014-08-01T22:14:48Z</dcterms:modified>
</cp:coreProperties>
</file>